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ntranet-fs4\suido\給水部\42_給水装置課\420_給水装置課_共用\009_給水装置工事\審査関係\☆水理計算\水理計算　公開版\"/>
    </mc:Choice>
  </mc:AlternateContent>
  <xr:revisionPtr revIDLastSave="0" documentId="13_ncr:1_{5BD8CBC0-7784-481D-A6FA-670EC6739FCC}" xr6:coauthVersionLast="47" xr6:coauthVersionMax="47" xr10:uidLastSave="{00000000-0000-0000-0000-000000000000}"/>
  <bookViews>
    <workbookView xWindow="-108" yWindow="-108" windowWidth="23256" windowHeight="12456" xr2:uid="{5C1A0375-19A4-4452-B1CE-D6325E250D0B}"/>
  </bookViews>
  <sheets>
    <sheet name="水理計算書(直結加圧装置まで)" sheetId="1" r:id="rId1"/>
    <sheet name="水理計算書 (直結加圧装置下流) (1)" sheetId="4" r:id="rId2"/>
    <sheet name="水理計算書 (直結加圧装置下流) (2)" sheetId="5" r:id="rId3"/>
    <sheet name="直結加圧水理計算書（入力方法）" sheetId="6" r:id="rId4"/>
    <sheet name="入力補助" sheetId="2" r:id="rId5"/>
    <sheet name="コード表" sheetId="3" r:id="rId6"/>
  </sheets>
  <definedNames>
    <definedName name="_xlnm._FilterDatabase" localSheetId="1" hidden="1">'水理計算書 (直結加圧装置下流) (1)'!$C$12:$T$16</definedName>
    <definedName name="_xlnm._FilterDatabase" localSheetId="2" hidden="1">'水理計算書 (直結加圧装置下流) (2)'!$C$12:$T$17</definedName>
    <definedName name="_xlnm._FilterDatabase" localSheetId="0" hidden="1">'水理計算書(直結加圧装置まで)'!$C$11:$T$15</definedName>
    <definedName name="COP">入力補助!$D$41:$O$41</definedName>
    <definedName name="HIVP">入力補助!$D$42:$O$42</definedName>
    <definedName name="HPPE">入力補助!$D$35:$O$35</definedName>
    <definedName name="PBP">入力補助!$D$37:$O$37</definedName>
    <definedName name="Pe">入力補助!$D$33:$O$33</definedName>
    <definedName name="PeH">入力補助!$D$34:$O$34</definedName>
    <definedName name="_xlnm.Print_Area" localSheetId="1">'水理計算書 (直結加圧装置下流) (1)'!$B$1:$T$75</definedName>
    <definedName name="_xlnm.Print_Area" localSheetId="2">'水理計算書 (直結加圧装置下流) (2)'!$B$1:$T$76</definedName>
    <definedName name="_xlnm.Print_Area" localSheetId="0">'水理計算書(直結加圧装置まで)'!$B$1:$T$68</definedName>
    <definedName name="_xlnm.Print_Area" localSheetId="3">'直結加圧水理計算書（入力方法）'!$B$2:$I$30</definedName>
    <definedName name="SUS">入力補助!$D$36:$O$36</definedName>
    <definedName name="VP">入力補助!$D$40:$O$40</definedName>
    <definedName name="VSP">入力補助!$D$38:$O$38</definedName>
    <definedName name="XPe">入力補助!$D$39:$O$39</definedName>
    <definedName name="ｱﾝｸﾞﾙ止水栓">入力補助!$D$16:$O$16</definedName>
    <definedName name="サドル分水栓">入力補助!$D$4:$O$4</definedName>
    <definedName name="ｽﾄﾚｰﾄ止水栓">入力補助!$D$15:$O$15</definedName>
    <definedName name="ﾄﾞﾚﾝﾊﾞﾙﾌﾞ逆止無">入力補助!$D$29:$O$29</definedName>
    <definedName name="ﾄﾞﾚﾝﾊﾞﾙﾌﾞ逆止有">入力補助!$D$28:$O$28</definedName>
    <definedName name="ﾌﾗｯｼｭﾊﾞﾙﾌﾞ">入力補助!$D$23:$O$23</definedName>
    <definedName name="フレキ300L">入力補助!$D$21:$O$21</definedName>
    <definedName name="フレキ500L">入力補助!$D$22:$O$22</definedName>
    <definedName name="ヘッダー">入力補助!$D$31:$O$31</definedName>
    <definedName name="ボールタップ">入力補助!$D$19:$O$19</definedName>
    <definedName name="ﾎﾞｰﾙﾊﾞﾙﾌﾞ逆止有">入力補助!$D$17:$O$17</definedName>
    <definedName name="ボール止水栓">入力補助!$D$8:$O$8</definedName>
    <definedName name="メーター">入力補助!$D$11:$O$11</definedName>
    <definedName name="ﾒｰﾀｰﾕﾆｯﾄ">入力補助!$D$13:$O$13</definedName>
    <definedName name="異径接合">入力補助!$D$6:$O$6</definedName>
    <definedName name="屋内止水栓">入力補助!$D$14:$O$14</definedName>
    <definedName name="割T字">入力補助!$D$5:$O$5</definedName>
    <definedName name="管種">入力補助!$D$32:$O$32</definedName>
    <definedName name="器具">入力補助!$D$2:$O$2</definedName>
    <definedName name="逆止ﾒｰﾀｰﾊﾟｯｷﾝ">入力補助!$D$12:$O$12</definedName>
    <definedName name="逆止弁ｽｲﾝｸﾞ式">入力補助!$D$26:$O$26</definedName>
    <definedName name="逆止弁減圧">入力補助!$D$25:$O$25</definedName>
    <definedName name="逆止弁単式">入力補助!$D$24:$O$24</definedName>
    <definedName name="給水管">入力補助!$D$44:$O$44</definedName>
    <definedName name="甲止水栓">入力補助!$D$7:$O$7</definedName>
    <definedName name="仕切弁">入力補助!$D$10:$O$10</definedName>
    <definedName name="止水栓">入力補助!$D$9:$O$9</definedName>
    <definedName name="水栓類">入力補助!$D$18:$O$18</definedName>
    <definedName name="水抜栓">入力補助!$D$27:$O$27</definedName>
    <definedName name="鋳鉄管">入力補助!$D$43:$O$43</definedName>
    <definedName name="定水位弁">入力補助!$D$30:$O$30</definedName>
    <definedName name="分岐箇所">入力補助!$D$3:$O$3</definedName>
    <definedName name="分岐水栓">入力補助!$D$20:$O$20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3" i="2" l="1"/>
  <c r="N6" i="5"/>
  <c r="N7" i="5"/>
  <c r="N5" i="5"/>
  <c r="N6" i="4"/>
  <c r="N7" i="4"/>
  <c r="N5" i="4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16" i="4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AC14" i="1"/>
  <c r="Z14" i="1"/>
  <c r="L16" i="5" l="1"/>
  <c r="L17" i="5" s="1"/>
  <c r="L15" i="4"/>
  <c r="L14" i="1"/>
  <c r="L15" i="1" s="1"/>
  <c r="L16" i="1" s="1"/>
  <c r="L17" i="1" s="1"/>
  <c r="G14" i="1"/>
  <c r="W14" i="1"/>
  <c r="X14" i="1" s="1"/>
  <c r="S76" i="5"/>
  <c r="S75" i="4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16" i="4"/>
  <c r="S53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U82" i="2"/>
  <c r="U81" i="2"/>
  <c r="U80" i="2"/>
  <c r="U79" i="2"/>
  <c r="E5" i="5"/>
  <c r="E5" i="4"/>
  <c r="S54" i="5"/>
  <c r="S55" i="5"/>
  <c r="S56" i="5"/>
  <c r="S57" i="5"/>
  <c r="S58" i="5"/>
  <c r="S53" i="4"/>
  <c r="S54" i="4"/>
  <c r="S55" i="4"/>
  <c r="S56" i="4"/>
  <c r="S57" i="4"/>
  <c r="S58" i="4"/>
  <c r="S59" i="4"/>
  <c r="S60" i="4"/>
  <c r="S61" i="4"/>
  <c r="S62" i="4"/>
  <c r="D76" i="4"/>
  <c r="E72" i="4" s="1"/>
  <c r="AC64" i="5"/>
  <c r="AB64" i="5"/>
  <c r="AF64" i="5" s="1"/>
  <c r="AA64" i="5"/>
  <c r="AE64" i="5" s="1"/>
  <c r="AG64" i="5" s="1"/>
  <c r="Z64" i="5"/>
  <c r="AD64" i="5" s="1"/>
  <c r="W64" i="5"/>
  <c r="X64" i="5" s="1"/>
  <c r="T64" i="5"/>
  <c r="S64" i="5"/>
  <c r="J64" i="5"/>
  <c r="G64" i="5"/>
  <c r="H64" i="5" s="1"/>
  <c r="AC63" i="5"/>
  <c r="AB63" i="5"/>
  <c r="AA63" i="5"/>
  <c r="Z63" i="5"/>
  <c r="X63" i="5"/>
  <c r="W63" i="5"/>
  <c r="T63" i="5"/>
  <c r="S63" i="5"/>
  <c r="J63" i="5"/>
  <c r="G63" i="5"/>
  <c r="H63" i="5" s="1"/>
  <c r="AC62" i="5"/>
  <c r="AB62" i="5"/>
  <c r="AA62" i="5"/>
  <c r="Z62" i="5"/>
  <c r="AD62" i="5" s="1"/>
  <c r="X62" i="5"/>
  <c r="W62" i="5"/>
  <c r="T62" i="5"/>
  <c r="S62" i="5"/>
  <c r="J62" i="5"/>
  <c r="G62" i="5"/>
  <c r="H62" i="5" s="1"/>
  <c r="AC61" i="5"/>
  <c r="AB61" i="5"/>
  <c r="AA61" i="5"/>
  <c r="AE61" i="5" s="1"/>
  <c r="AG61" i="5" s="1"/>
  <c r="Z61" i="5"/>
  <c r="AD61" i="5" s="1"/>
  <c r="X61" i="5"/>
  <c r="W61" i="5"/>
  <c r="T61" i="5"/>
  <c r="S61" i="5"/>
  <c r="J61" i="5"/>
  <c r="G61" i="5"/>
  <c r="AC60" i="5"/>
  <c r="AB60" i="5"/>
  <c r="AF60" i="5" s="1"/>
  <c r="AA60" i="5"/>
  <c r="AE60" i="5" s="1"/>
  <c r="AG60" i="5" s="1"/>
  <c r="Z60" i="5"/>
  <c r="AD60" i="5" s="1"/>
  <c r="W60" i="5"/>
  <c r="X60" i="5" s="1"/>
  <c r="T60" i="5"/>
  <c r="S60" i="5"/>
  <c r="J60" i="5"/>
  <c r="G60" i="5"/>
  <c r="H60" i="5" s="1"/>
  <c r="AC59" i="5"/>
  <c r="AB59" i="5"/>
  <c r="AA59" i="5"/>
  <c r="Z59" i="5"/>
  <c r="X59" i="5"/>
  <c r="W59" i="5"/>
  <c r="T59" i="5"/>
  <c r="S59" i="5"/>
  <c r="J59" i="5"/>
  <c r="G59" i="5"/>
  <c r="H59" i="5" s="1"/>
  <c r="AC58" i="5"/>
  <c r="AB58" i="5"/>
  <c r="AF58" i="5" s="1"/>
  <c r="AA58" i="5"/>
  <c r="Z58" i="5"/>
  <c r="AD58" i="5" s="1"/>
  <c r="W58" i="5"/>
  <c r="X58" i="5" s="1"/>
  <c r="T58" i="5"/>
  <c r="J58" i="5"/>
  <c r="G58" i="5"/>
  <c r="H58" i="5" s="1"/>
  <c r="AC57" i="5"/>
  <c r="AB57" i="5"/>
  <c r="AA57" i="5"/>
  <c r="AE57" i="5" s="1"/>
  <c r="AG57" i="5" s="1"/>
  <c r="Z57" i="5"/>
  <c r="X57" i="5"/>
  <c r="W57" i="5"/>
  <c r="T57" i="5"/>
  <c r="J57" i="5"/>
  <c r="G57" i="5"/>
  <c r="AC56" i="5"/>
  <c r="AB56" i="5"/>
  <c r="AF56" i="5" s="1"/>
  <c r="AA56" i="5"/>
  <c r="AE56" i="5" s="1"/>
  <c r="AG56" i="5" s="1"/>
  <c r="Z56" i="5"/>
  <c r="AD56" i="5" s="1"/>
  <c r="W56" i="5"/>
  <c r="X56" i="5" s="1"/>
  <c r="T56" i="5"/>
  <c r="J56" i="5"/>
  <c r="G56" i="5"/>
  <c r="H56" i="5" s="1"/>
  <c r="AC55" i="5"/>
  <c r="AB55" i="5"/>
  <c r="AA55" i="5"/>
  <c r="Z55" i="5"/>
  <c r="X55" i="5"/>
  <c r="W55" i="5"/>
  <c r="T55" i="5"/>
  <c r="J55" i="5"/>
  <c r="G55" i="5"/>
  <c r="AC54" i="5"/>
  <c r="AB54" i="5"/>
  <c r="AF54" i="5" s="1"/>
  <c r="AA54" i="5"/>
  <c r="Z54" i="5"/>
  <c r="AD54" i="5" s="1"/>
  <c r="W54" i="5"/>
  <c r="X54" i="5" s="1"/>
  <c r="T54" i="5"/>
  <c r="J54" i="5"/>
  <c r="G54" i="5"/>
  <c r="H54" i="5" s="1"/>
  <c r="AC53" i="5"/>
  <c r="AB53" i="5"/>
  <c r="AA53" i="5"/>
  <c r="AE53" i="5" s="1"/>
  <c r="AG53" i="5" s="1"/>
  <c r="Z53" i="5"/>
  <c r="X53" i="5"/>
  <c r="W53" i="5"/>
  <c r="T53" i="5"/>
  <c r="S53" i="5"/>
  <c r="J53" i="5"/>
  <c r="G53" i="5"/>
  <c r="AC52" i="5"/>
  <c r="AB52" i="5"/>
  <c r="AF52" i="5" s="1"/>
  <c r="AA52" i="5"/>
  <c r="AE52" i="5" s="1"/>
  <c r="AG52" i="5" s="1"/>
  <c r="Z52" i="5"/>
  <c r="AD52" i="5" s="1"/>
  <c r="W52" i="5"/>
  <c r="X52" i="5" s="1"/>
  <c r="T52" i="5"/>
  <c r="S52" i="5"/>
  <c r="J52" i="5"/>
  <c r="G52" i="5"/>
  <c r="H52" i="5" s="1"/>
  <c r="AC51" i="5"/>
  <c r="AB51" i="5"/>
  <c r="AA51" i="5"/>
  <c r="Z51" i="5"/>
  <c r="X51" i="5"/>
  <c r="W51" i="5"/>
  <c r="T51" i="5"/>
  <c r="S51" i="5"/>
  <c r="J51" i="5"/>
  <c r="G51" i="5"/>
  <c r="AC50" i="5"/>
  <c r="AB50" i="5"/>
  <c r="AF50" i="5" s="1"/>
  <c r="AA50" i="5"/>
  <c r="Z50" i="5"/>
  <c r="AD50" i="5" s="1"/>
  <c r="W50" i="5"/>
  <c r="X50" i="5" s="1"/>
  <c r="T50" i="5"/>
  <c r="S50" i="5"/>
  <c r="J50" i="5"/>
  <c r="G50" i="5"/>
  <c r="H50" i="5" s="1"/>
  <c r="AC49" i="5"/>
  <c r="AB49" i="5"/>
  <c r="AA49" i="5"/>
  <c r="AE49" i="5" s="1"/>
  <c r="AG49" i="5" s="1"/>
  <c r="Z49" i="5"/>
  <c r="X49" i="5"/>
  <c r="W49" i="5"/>
  <c r="T49" i="5"/>
  <c r="S49" i="5"/>
  <c r="J49" i="5"/>
  <c r="G49" i="5"/>
  <c r="AC48" i="5"/>
  <c r="AB48" i="5"/>
  <c r="AF48" i="5" s="1"/>
  <c r="AA48" i="5"/>
  <c r="AE48" i="5" s="1"/>
  <c r="AG48" i="5" s="1"/>
  <c r="Z48" i="5"/>
  <c r="AD48" i="5" s="1"/>
  <c r="W48" i="5"/>
  <c r="X48" i="5" s="1"/>
  <c r="T48" i="5"/>
  <c r="S48" i="5"/>
  <c r="J48" i="5"/>
  <c r="G48" i="5"/>
  <c r="H48" i="5" s="1"/>
  <c r="AC47" i="5"/>
  <c r="AB47" i="5"/>
  <c r="AA47" i="5"/>
  <c r="Z47" i="5"/>
  <c r="X47" i="5"/>
  <c r="W47" i="5"/>
  <c r="T47" i="5"/>
  <c r="S47" i="5"/>
  <c r="J47" i="5"/>
  <c r="G47" i="5"/>
  <c r="AC46" i="5"/>
  <c r="AB46" i="5"/>
  <c r="AF46" i="5" s="1"/>
  <c r="AA46" i="5"/>
  <c r="Z46" i="5"/>
  <c r="AD46" i="5" s="1"/>
  <c r="W46" i="5"/>
  <c r="X46" i="5" s="1"/>
  <c r="T46" i="5"/>
  <c r="S46" i="5"/>
  <c r="J46" i="5"/>
  <c r="G46" i="5"/>
  <c r="H46" i="5" s="1"/>
  <c r="AC45" i="5"/>
  <c r="AB45" i="5"/>
  <c r="AA45" i="5"/>
  <c r="AE45" i="5" s="1"/>
  <c r="AG45" i="5" s="1"/>
  <c r="Z45" i="5"/>
  <c r="X45" i="5"/>
  <c r="W45" i="5"/>
  <c r="T45" i="5"/>
  <c r="S45" i="5"/>
  <c r="J45" i="5"/>
  <c r="G45" i="5"/>
  <c r="AC44" i="5"/>
  <c r="AB44" i="5"/>
  <c r="AF44" i="5" s="1"/>
  <c r="AA44" i="5"/>
  <c r="AE44" i="5" s="1"/>
  <c r="AG44" i="5" s="1"/>
  <c r="Z44" i="5"/>
  <c r="AD44" i="5" s="1"/>
  <c r="W44" i="5"/>
  <c r="X44" i="5" s="1"/>
  <c r="T44" i="5"/>
  <c r="S44" i="5"/>
  <c r="J44" i="5"/>
  <c r="G44" i="5"/>
  <c r="H44" i="5" s="1"/>
  <c r="AC43" i="5"/>
  <c r="AB43" i="5"/>
  <c r="AF43" i="5" s="1"/>
  <c r="AA43" i="5"/>
  <c r="AE43" i="5" s="1"/>
  <c r="AG43" i="5" s="1"/>
  <c r="Z43" i="5"/>
  <c r="AD43" i="5" s="1"/>
  <c r="W43" i="5"/>
  <c r="X43" i="5" s="1"/>
  <c r="T43" i="5"/>
  <c r="S43" i="5"/>
  <c r="J43" i="5"/>
  <c r="G43" i="5"/>
  <c r="H43" i="5" s="1"/>
  <c r="AC42" i="5"/>
  <c r="AB42" i="5"/>
  <c r="AA42" i="5"/>
  <c r="AE42" i="5" s="1"/>
  <c r="AG42" i="5" s="1"/>
  <c r="Z42" i="5"/>
  <c r="X42" i="5"/>
  <c r="W42" i="5"/>
  <c r="T42" i="5"/>
  <c r="S42" i="5"/>
  <c r="J42" i="5"/>
  <c r="G42" i="5"/>
  <c r="AC41" i="5"/>
  <c r="AB41" i="5"/>
  <c r="AA41" i="5"/>
  <c r="Z41" i="5"/>
  <c r="X41" i="5"/>
  <c r="W41" i="5"/>
  <c r="T41" i="5"/>
  <c r="S41" i="5"/>
  <c r="J41" i="5"/>
  <c r="G41" i="5"/>
  <c r="H41" i="5" s="1"/>
  <c r="AC40" i="5"/>
  <c r="AB40" i="5"/>
  <c r="AF40" i="5" s="1"/>
  <c r="AA40" i="5"/>
  <c r="Z40" i="5"/>
  <c r="AD40" i="5" s="1"/>
  <c r="W40" i="5"/>
  <c r="X40" i="5" s="1"/>
  <c r="T40" i="5"/>
  <c r="S40" i="5"/>
  <c r="J40" i="5"/>
  <c r="G40" i="5"/>
  <c r="AC39" i="5"/>
  <c r="AB39" i="5"/>
  <c r="AF39" i="5" s="1"/>
  <c r="AA39" i="5"/>
  <c r="AE39" i="5" s="1"/>
  <c r="AG39" i="5" s="1"/>
  <c r="Z39" i="5"/>
  <c r="X39" i="5"/>
  <c r="W39" i="5"/>
  <c r="T39" i="5"/>
  <c r="S39" i="5"/>
  <c r="J39" i="5"/>
  <c r="G39" i="5"/>
  <c r="H39" i="5" s="1"/>
  <c r="Y39" i="5" s="1"/>
  <c r="AC38" i="5"/>
  <c r="AB38" i="5"/>
  <c r="AA38" i="5"/>
  <c r="Z38" i="5"/>
  <c r="X38" i="5"/>
  <c r="W38" i="5"/>
  <c r="T38" i="5"/>
  <c r="S38" i="5"/>
  <c r="J38" i="5"/>
  <c r="G38" i="5"/>
  <c r="H38" i="5" s="1"/>
  <c r="AC37" i="5"/>
  <c r="AB37" i="5"/>
  <c r="AA37" i="5"/>
  <c r="Z37" i="5"/>
  <c r="W37" i="5"/>
  <c r="X37" i="5" s="1"/>
  <c r="T37" i="5"/>
  <c r="S37" i="5"/>
  <c r="AC36" i="5"/>
  <c r="AB36" i="5"/>
  <c r="AA36" i="5"/>
  <c r="AE36" i="5" s="1"/>
  <c r="AG36" i="5" s="1"/>
  <c r="Z36" i="5"/>
  <c r="W36" i="5"/>
  <c r="X36" i="5" s="1"/>
  <c r="T36" i="5"/>
  <c r="AC35" i="5"/>
  <c r="AB35" i="5"/>
  <c r="AA35" i="5"/>
  <c r="Z35" i="5"/>
  <c r="W35" i="5"/>
  <c r="X35" i="5" s="1"/>
  <c r="T35" i="5"/>
  <c r="AC34" i="5"/>
  <c r="AB34" i="5"/>
  <c r="AA34" i="5"/>
  <c r="AE34" i="5" s="1"/>
  <c r="AG34" i="5" s="1"/>
  <c r="Z34" i="5"/>
  <c r="W34" i="5"/>
  <c r="X34" i="5" s="1"/>
  <c r="T34" i="5"/>
  <c r="AC33" i="5"/>
  <c r="AB33" i="5"/>
  <c r="AA33" i="5"/>
  <c r="Z33" i="5"/>
  <c r="W33" i="5"/>
  <c r="X33" i="5" s="1"/>
  <c r="T33" i="5"/>
  <c r="AC32" i="5"/>
  <c r="AB32" i="5"/>
  <c r="AA32" i="5"/>
  <c r="Z32" i="5"/>
  <c r="W32" i="5"/>
  <c r="X32" i="5" s="1"/>
  <c r="T32" i="5"/>
  <c r="AC31" i="5"/>
  <c r="AB31" i="5"/>
  <c r="AA31" i="5"/>
  <c r="Z31" i="5"/>
  <c r="W31" i="5"/>
  <c r="X31" i="5" s="1"/>
  <c r="T31" i="5"/>
  <c r="AC30" i="5"/>
  <c r="AB30" i="5"/>
  <c r="AA30" i="5"/>
  <c r="Z30" i="5"/>
  <c r="W30" i="5"/>
  <c r="X30" i="5" s="1"/>
  <c r="T30" i="5"/>
  <c r="AC29" i="5"/>
  <c r="AB29" i="5"/>
  <c r="AA29" i="5"/>
  <c r="Z29" i="5"/>
  <c r="W29" i="5"/>
  <c r="X29" i="5" s="1"/>
  <c r="T29" i="5"/>
  <c r="AC28" i="5"/>
  <c r="AB28" i="5"/>
  <c r="AA28" i="5"/>
  <c r="Z28" i="5"/>
  <c r="W28" i="5"/>
  <c r="X28" i="5" s="1"/>
  <c r="T28" i="5"/>
  <c r="AC27" i="5"/>
  <c r="AB27" i="5"/>
  <c r="AA27" i="5"/>
  <c r="Z27" i="5"/>
  <c r="W27" i="5"/>
  <c r="X27" i="5" s="1"/>
  <c r="T27" i="5"/>
  <c r="AC26" i="5"/>
  <c r="AB26" i="5"/>
  <c r="AA26" i="5"/>
  <c r="Z26" i="5"/>
  <c r="W26" i="5"/>
  <c r="X26" i="5" s="1"/>
  <c r="T26" i="5"/>
  <c r="AC25" i="5"/>
  <c r="AB25" i="5"/>
  <c r="AA25" i="5"/>
  <c r="Z25" i="5"/>
  <c r="X25" i="5"/>
  <c r="W25" i="5"/>
  <c r="T25" i="5"/>
  <c r="AC24" i="5"/>
  <c r="AB24" i="5"/>
  <c r="AA24" i="5"/>
  <c r="Z24" i="5"/>
  <c r="W24" i="5"/>
  <c r="X24" i="5" s="1"/>
  <c r="T24" i="5"/>
  <c r="AC23" i="5"/>
  <c r="AB23" i="5"/>
  <c r="AA23" i="5"/>
  <c r="Z23" i="5"/>
  <c r="W23" i="5"/>
  <c r="X23" i="5" s="1"/>
  <c r="T23" i="5"/>
  <c r="AC22" i="5"/>
  <c r="AB22" i="5"/>
  <c r="AA22" i="5"/>
  <c r="Z22" i="5"/>
  <c r="W22" i="5"/>
  <c r="X22" i="5" s="1"/>
  <c r="T22" i="5"/>
  <c r="AC21" i="5"/>
  <c r="AB21" i="5"/>
  <c r="AA21" i="5"/>
  <c r="Z21" i="5"/>
  <c r="W21" i="5"/>
  <c r="X21" i="5" s="1"/>
  <c r="T21" i="5"/>
  <c r="AC20" i="5"/>
  <c r="AB20" i="5"/>
  <c r="AA20" i="5"/>
  <c r="Z20" i="5"/>
  <c r="X20" i="5"/>
  <c r="W20" i="5"/>
  <c r="T20" i="5"/>
  <c r="AC19" i="5"/>
  <c r="AB19" i="5"/>
  <c r="AA19" i="5"/>
  <c r="Z19" i="5"/>
  <c r="W19" i="5"/>
  <c r="X19" i="5" s="1"/>
  <c r="T19" i="5"/>
  <c r="AC18" i="5"/>
  <c r="AB18" i="5"/>
  <c r="AA18" i="5"/>
  <c r="Z18" i="5"/>
  <c r="W18" i="5"/>
  <c r="T18" i="5"/>
  <c r="AC17" i="5"/>
  <c r="AB17" i="5"/>
  <c r="AA17" i="5"/>
  <c r="Z17" i="5"/>
  <c r="W17" i="5"/>
  <c r="X17" i="5" s="1"/>
  <c r="T17" i="5"/>
  <c r="AC16" i="5"/>
  <c r="AB16" i="5"/>
  <c r="AA16" i="5"/>
  <c r="Z16" i="5"/>
  <c r="W16" i="5"/>
  <c r="X16" i="5" s="1"/>
  <c r="T16" i="5"/>
  <c r="J16" i="5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37" i="5" s="1"/>
  <c r="H16" i="5"/>
  <c r="H15" i="4"/>
  <c r="AD21" i="5" l="1"/>
  <c r="AE32" i="5"/>
  <c r="AG32" i="5" s="1"/>
  <c r="AD26" i="5"/>
  <c r="AF24" i="5"/>
  <c r="AD24" i="5"/>
  <c r="AE24" i="5"/>
  <c r="AG24" i="5" s="1"/>
  <c r="AD23" i="5"/>
  <c r="AE21" i="5"/>
  <c r="AG21" i="5" s="1"/>
  <c r="AE20" i="5"/>
  <c r="AG20" i="5" s="1"/>
  <c r="AD19" i="5"/>
  <c r="AE17" i="5"/>
  <c r="AF17" i="5"/>
  <c r="AD18" i="5"/>
  <c r="AE19" i="5"/>
  <c r="AG19" i="5" s="1"/>
  <c r="AD22" i="5"/>
  <c r="AE23" i="5"/>
  <c r="AG23" i="5" s="1"/>
  <c r="AD28" i="5"/>
  <c r="AD29" i="5"/>
  <c r="AD31" i="5"/>
  <c r="AD33" i="5"/>
  <c r="AD35" i="5"/>
  <c r="AE28" i="5"/>
  <c r="AG28" i="5" s="1"/>
  <c r="AE29" i="5"/>
  <c r="AG29" i="5" s="1"/>
  <c r="AE31" i="5"/>
  <c r="AG31" i="5" s="1"/>
  <c r="AE33" i="5"/>
  <c r="AG33" i="5" s="1"/>
  <c r="AE35" i="5"/>
  <c r="AG35" i="5" s="1"/>
  <c r="N39" i="5"/>
  <c r="AI39" i="5" s="1"/>
  <c r="AE18" i="5"/>
  <c r="AG18" i="5" s="1"/>
  <c r="AE22" i="5"/>
  <c r="AG22" i="5" s="1"/>
  <c r="AD17" i="5"/>
  <c r="P17" i="5" s="1"/>
  <c r="AF18" i="5"/>
  <c r="AD20" i="5"/>
  <c r="AD27" i="5"/>
  <c r="AF28" i="5"/>
  <c r="AD34" i="5"/>
  <c r="AF35" i="5"/>
  <c r="N73" i="4"/>
  <c r="D71" i="4"/>
  <c r="J71" i="4"/>
  <c r="M71" i="4"/>
  <c r="J73" i="4"/>
  <c r="J72" i="4"/>
  <c r="M72" i="4"/>
  <c r="K73" i="4"/>
  <c r="D70" i="4"/>
  <c r="K72" i="4"/>
  <c r="E73" i="4"/>
  <c r="AD16" i="5"/>
  <c r="P16" i="5" s="1"/>
  <c r="AF19" i="5"/>
  <c r="AF20" i="5"/>
  <c r="AF21" i="5"/>
  <c r="AF22" i="5"/>
  <c r="AF23" i="5"/>
  <c r="AD25" i="5"/>
  <c r="AE26" i="5"/>
  <c r="AG26" i="5" s="1"/>
  <c r="AE27" i="5"/>
  <c r="AG27" i="5" s="1"/>
  <c r="AD30" i="5"/>
  <c r="AD32" i="5"/>
  <c r="AF34" i="5"/>
  <c r="AD36" i="5"/>
  <c r="AD37" i="5"/>
  <c r="AD38" i="5"/>
  <c r="AD41" i="5"/>
  <c r="AF42" i="5"/>
  <c r="Y44" i="5"/>
  <c r="N44" i="5" s="1"/>
  <c r="AI44" i="5" s="1"/>
  <c r="AF45" i="5"/>
  <c r="AE46" i="5"/>
  <c r="AG46" i="5" s="1"/>
  <c r="H47" i="5"/>
  <c r="Y47" i="5" s="1"/>
  <c r="N47" i="5" s="1"/>
  <c r="AD47" i="5"/>
  <c r="Y48" i="5"/>
  <c r="N48" i="5" s="1"/>
  <c r="AH48" i="5" s="1"/>
  <c r="U48" i="5" s="1"/>
  <c r="AF49" i="5"/>
  <c r="AE50" i="5"/>
  <c r="AG50" i="5" s="1"/>
  <c r="H51" i="5"/>
  <c r="Y51" i="5" s="1"/>
  <c r="N51" i="5" s="1"/>
  <c r="AD51" i="5"/>
  <c r="Y52" i="5"/>
  <c r="N52" i="5" s="1"/>
  <c r="AJ52" i="5" s="1"/>
  <c r="AF53" i="5"/>
  <c r="AE54" i="5"/>
  <c r="AG54" i="5" s="1"/>
  <c r="H55" i="5"/>
  <c r="Y55" i="5" s="1"/>
  <c r="N55" i="5" s="1"/>
  <c r="AD55" i="5"/>
  <c r="Y56" i="5"/>
  <c r="N56" i="5" s="1"/>
  <c r="AH56" i="5" s="1"/>
  <c r="U56" i="5" s="1"/>
  <c r="AF57" i="5"/>
  <c r="AE58" i="5"/>
  <c r="AG58" i="5" s="1"/>
  <c r="AD59" i="5"/>
  <c r="Y60" i="5"/>
  <c r="N60" i="5" s="1"/>
  <c r="AH60" i="5" s="1"/>
  <c r="U60" i="5" s="1"/>
  <c r="AF61" i="5"/>
  <c r="AE62" i="5"/>
  <c r="AG62" i="5" s="1"/>
  <c r="AD63" i="5"/>
  <c r="Y64" i="5"/>
  <c r="N64" i="5" s="1"/>
  <c r="AJ64" i="5" s="1"/>
  <c r="Y41" i="5"/>
  <c r="N41" i="5" s="1"/>
  <c r="AH41" i="5" s="1"/>
  <c r="U41" i="5" s="1"/>
  <c r="Y59" i="5"/>
  <c r="N59" i="5" s="1"/>
  <c r="AH59" i="5" s="1"/>
  <c r="U59" i="5" s="1"/>
  <c r="Y63" i="5"/>
  <c r="N63" i="5" s="1"/>
  <c r="AH63" i="5" s="1"/>
  <c r="U63" i="5" s="1"/>
  <c r="AE16" i="5"/>
  <c r="AG16" i="5" s="1"/>
  <c r="G16" i="5"/>
  <c r="AF16" i="5"/>
  <c r="X18" i="5"/>
  <c r="AE25" i="5"/>
  <c r="AG25" i="5" s="1"/>
  <c r="AF26" i="5"/>
  <c r="AE30" i="5"/>
  <c r="AG30" i="5" s="1"/>
  <c r="AF33" i="5"/>
  <c r="AE37" i="5"/>
  <c r="AG37" i="5" s="1"/>
  <c r="AE38" i="5"/>
  <c r="AG38" i="5" s="1"/>
  <c r="AE41" i="5"/>
  <c r="AG41" i="5" s="1"/>
  <c r="AE47" i="5"/>
  <c r="AG47" i="5" s="1"/>
  <c r="AE51" i="5"/>
  <c r="AG51" i="5" s="1"/>
  <c r="AE55" i="5"/>
  <c r="AG55" i="5" s="1"/>
  <c r="AE59" i="5"/>
  <c r="AG59" i="5" s="1"/>
  <c r="AF62" i="5"/>
  <c r="AE63" i="5"/>
  <c r="AG63" i="5" s="1"/>
  <c r="AF25" i="5"/>
  <c r="AF30" i="5"/>
  <c r="AF32" i="5"/>
  <c r="AF36" i="5"/>
  <c r="AF37" i="5"/>
  <c r="AF38" i="5"/>
  <c r="AD39" i="5"/>
  <c r="AF41" i="5"/>
  <c r="H42" i="5"/>
  <c r="Y42" i="5" s="1"/>
  <c r="N42" i="5" s="1"/>
  <c r="AD42" i="5"/>
  <c r="Y43" i="5"/>
  <c r="N43" i="5" s="1"/>
  <c r="AH43" i="5" s="1"/>
  <c r="U43" i="5" s="1"/>
  <c r="H45" i="5"/>
  <c r="Y45" i="5" s="1"/>
  <c r="N45" i="5" s="1"/>
  <c r="AD45" i="5"/>
  <c r="Y46" i="5"/>
  <c r="N46" i="5" s="1"/>
  <c r="AJ46" i="5" s="1"/>
  <c r="AF47" i="5"/>
  <c r="H49" i="5"/>
  <c r="Y49" i="5" s="1"/>
  <c r="N49" i="5" s="1"/>
  <c r="AD49" i="5"/>
  <c r="Y50" i="5"/>
  <c r="N50" i="5" s="1"/>
  <c r="AI50" i="5" s="1"/>
  <c r="AF51" i="5"/>
  <c r="H53" i="5"/>
  <c r="Y53" i="5" s="1"/>
  <c r="N53" i="5" s="1"/>
  <c r="AD53" i="5"/>
  <c r="Y54" i="5"/>
  <c r="N54" i="5" s="1"/>
  <c r="AH54" i="5" s="1"/>
  <c r="U54" i="5" s="1"/>
  <c r="AF55" i="5"/>
  <c r="H57" i="5"/>
  <c r="Y57" i="5" s="1"/>
  <c r="N57" i="5" s="1"/>
  <c r="AD57" i="5"/>
  <c r="Y58" i="5"/>
  <c r="N58" i="5" s="1"/>
  <c r="AJ58" i="5" s="1"/>
  <c r="AF59" i="5"/>
  <c r="H61" i="5"/>
  <c r="Y61" i="5" s="1"/>
  <c r="N61" i="5" s="1"/>
  <c r="Y62" i="5"/>
  <c r="N62" i="5" s="1"/>
  <c r="AJ62" i="5" s="1"/>
  <c r="AF63" i="5"/>
  <c r="G17" i="5"/>
  <c r="Y16" i="5"/>
  <c r="N16" i="5" s="1"/>
  <c r="AF27" i="5"/>
  <c r="AF31" i="5"/>
  <c r="H40" i="5"/>
  <c r="Y40" i="5" s="1"/>
  <c r="N40" i="5" s="1"/>
  <c r="H66" i="5"/>
  <c r="AF29" i="5"/>
  <c r="Y38" i="5"/>
  <c r="N38" i="5" s="1"/>
  <c r="AE40" i="5"/>
  <c r="AG40" i="5" s="1"/>
  <c r="AG17" i="5" l="1"/>
  <c r="AJ44" i="5"/>
  <c r="Q44" i="5" s="1"/>
  <c r="AI59" i="5"/>
  <c r="G18" i="5"/>
  <c r="G19" i="5" s="1"/>
  <c r="AJ56" i="5"/>
  <c r="AJ60" i="5"/>
  <c r="AI43" i="5"/>
  <c r="AI56" i="5"/>
  <c r="AI64" i="5"/>
  <c r="Q64" i="5" s="1"/>
  <c r="AI60" i="5"/>
  <c r="AJ39" i="5"/>
  <c r="Q39" i="5" s="1"/>
  <c r="AH62" i="5"/>
  <c r="U62" i="5" s="1"/>
  <c r="AH58" i="5"/>
  <c r="U58" i="5" s="1"/>
  <c r="AJ50" i="5"/>
  <c r="Q50" i="5" s="1"/>
  <c r="AJ63" i="5"/>
  <c r="AI54" i="5"/>
  <c r="AI48" i="5"/>
  <c r="AI62" i="5"/>
  <c r="Q62" i="5" s="1"/>
  <c r="AI58" i="5"/>
  <c r="Q58" i="5" s="1"/>
  <c r="AH50" i="5"/>
  <c r="U50" i="5" s="1"/>
  <c r="AJ54" i="5"/>
  <c r="AH46" i="5"/>
  <c r="U46" i="5" s="1"/>
  <c r="AJ48" i="5"/>
  <c r="AI46" i="5"/>
  <c r="Q46" i="5" s="1"/>
  <c r="AI63" i="5"/>
  <c r="AJ43" i="5"/>
  <c r="AH39" i="5"/>
  <c r="U39" i="5" s="1"/>
  <c r="AH52" i="5"/>
  <c r="U52" i="5" s="1"/>
  <c r="AH64" i="5"/>
  <c r="U64" i="5" s="1"/>
  <c r="AI42" i="5"/>
  <c r="AH42" i="5"/>
  <c r="U42" i="5" s="1"/>
  <c r="AH44" i="5"/>
  <c r="U44" i="5" s="1"/>
  <c r="AJ59" i="5"/>
  <c r="AI41" i="5"/>
  <c r="AJ41" i="5"/>
  <c r="AI61" i="5"/>
  <c r="AH61" i="5"/>
  <c r="U61" i="5" s="1"/>
  <c r="AJ61" i="5"/>
  <c r="AJ53" i="5"/>
  <c r="AI53" i="5"/>
  <c r="AH53" i="5"/>
  <c r="U53" i="5" s="1"/>
  <c r="AH49" i="5"/>
  <c r="U49" i="5" s="1"/>
  <c r="AJ49" i="5"/>
  <c r="AI49" i="5"/>
  <c r="AI45" i="5"/>
  <c r="AH45" i="5"/>
  <c r="U45" i="5" s="1"/>
  <c r="AJ45" i="5"/>
  <c r="AH51" i="5"/>
  <c r="U51" i="5" s="1"/>
  <c r="AI51" i="5"/>
  <c r="AJ51" i="5"/>
  <c r="AJ55" i="5"/>
  <c r="AH55" i="5"/>
  <c r="U55" i="5" s="1"/>
  <c r="AI55" i="5"/>
  <c r="AJ57" i="5"/>
  <c r="AI57" i="5"/>
  <c r="AH57" i="5"/>
  <c r="U57" i="5" s="1"/>
  <c r="AI47" i="5"/>
  <c r="AH47" i="5"/>
  <c r="U47" i="5" s="1"/>
  <c r="AJ47" i="5"/>
  <c r="AJ42" i="5"/>
  <c r="AI52" i="5"/>
  <c r="Q52" i="5" s="1"/>
  <c r="AI38" i="5"/>
  <c r="AJ38" i="5"/>
  <c r="AH38" i="5"/>
  <c r="U38" i="5" s="1"/>
  <c r="J66" i="5"/>
  <c r="H67" i="5"/>
  <c r="AJ16" i="5"/>
  <c r="AH16" i="5"/>
  <c r="U16" i="5" s="1"/>
  <c r="AI40" i="5"/>
  <c r="AJ40" i="5"/>
  <c r="AH40" i="5"/>
  <c r="U40" i="5" s="1"/>
  <c r="H17" i="5"/>
  <c r="Y17" i="5" s="1"/>
  <c r="N17" i="5" s="1"/>
  <c r="H14" i="1"/>
  <c r="Y14" i="1" s="1"/>
  <c r="Q59" i="5" l="1"/>
  <c r="Q43" i="5"/>
  <c r="H18" i="5"/>
  <c r="Y18" i="5" s="1"/>
  <c r="N18" i="5" s="1"/>
  <c r="AJ18" i="5" s="1"/>
  <c r="Q42" i="5"/>
  <c r="Q56" i="5"/>
  <c r="H19" i="5"/>
  <c r="Y19" i="5" s="1"/>
  <c r="N19" i="5" s="1"/>
  <c r="G20" i="5"/>
  <c r="Q60" i="5"/>
  <c r="Q41" i="5"/>
  <c r="Q63" i="5"/>
  <c r="Q49" i="5"/>
  <c r="Q54" i="5"/>
  <c r="Q48" i="5"/>
  <c r="Q55" i="5"/>
  <c r="Q53" i="5"/>
  <c r="Q57" i="5"/>
  <c r="Q38" i="5"/>
  <c r="Q51" i="5"/>
  <c r="Q61" i="5"/>
  <c r="AH18" i="5"/>
  <c r="U18" i="5" s="1"/>
  <c r="AI16" i="5"/>
  <c r="Q16" i="5" s="1"/>
  <c r="S16" i="5" s="1"/>
  <c r="Q40" i="5"/>
  <c r="Q47" i="5"/>
  <c r="Q45" i="5"/>
  <c r="AJ17" i="5"/>
  <c r="AH17" i="5"/>
  <c r="U17" i="5" s="1"/>
  <c r="I67" i="5"/>
  <c r="S66" i="5"/>
  <c r="K67" i="5"/>
  <c r="S67" i="5" s="1"/>
  <c r="G33" i="5"/>
  <c r="J63" i="4"/>
  <c r="T63" i="4"/>
  <c r="W63" i="4"/>
  <c r="X63" i="4" s="1"/>
  <c r="Z63" i="4"/>
  <c r="AA63" i="4"/>
  <c r="AB63" i="4"/>
  <c r="AC63" i="4"/>
  <c r="G63" i="4" l="1"/>
  <c r="H63" i="4" s="1"/>
  <c r="Y63" i="4" s="1"/>
  <c r="N63" i="4" s="1"/>
  <c r="AI19" i="5"/>
  <c r="AJ19" i="5"/>
  <c r="AH19" i="5"/>
  <c r="U19" i="5" s="1"/>
  <c r="H20" i="5"/>
  <c r="Y20" i="5" s="1"/>
  <c r="N20" i="5" s="1"/>
  <c r="G21" i="5"/>
  <c r="AI18" i="5"/>
  <c r="Q18" i="5" s="1"/>
  <c r="S18" i="5" s="1"/>
  <c r="H33" i="5"/>
  <c r="Y33" i="5" s="1"/>
  <c r="N33" i="5" s="1"/>
  <c r="G34" i="5"/>
  <c r="AI17" i="5"/>
  <c r="Q17" i="5" s="1"/>
  <c r="S17" i="5" s="1"/>
  <c r="AF63" i="4"/>
  <c r="AD63" i="4"/>
  <c r="P63" i="4" s="1"/>
  <c r="AE63" i="4"/>
  <c r="AG63" i="4" l="1"/>
  <c r="Q19" i="5"/>
  <c r="S19" i="5" s="1"/>
  <c r="AH20" i="5"/>
  <c r="U20" i="5" s="1"/>
  <c r="AJ20" i="5"/>
  <c r="AI20" i="5"/>
  <c r="H21" i="5"/>
  <c r="Y21" i="5" s="1"/>
  <c r="N21" i="5" s="1"/>
  <c r="G22" i="5"/>
  <c r="AH33" i="5"/>
  <c r="U33" i="5" s="1"/>
  <c r="AJ33" i="5"/>
  <c r="AI33" i="5"/>
  <c r="H34" i="5"/>
  <c r="Y34" i="5" s="1"/>
  <c r="N34" i="5" s="1"/>
  <c r="G35" i="5"/>
  <c r="AH63" i="4"/>
  <c r="U63" i="4" s="1"/>
  <c r="AJ63" i="4"/>
  <c r="T61" i="4"/>
  <c r="W61" i="4"/>
  <c r="X61" i="4" s="1"/>
  <c r="Z61" i="4"/>
  <c r="AA61" i="4"/>
  <c r="AB61" i="4"/>
  <c r="AC61" i="4"/>
  <c r="T62" i="4"/>
  <c r="W62" i="4"/>
  <c r="X62" i="4" s="1"/>
  <c r="Z62" i="4"/>
  <c r="AA62" i="4"/>
  <c r="AB62" i="4"/>
  <c r="AC62" i="4"/>
  <c r="T55" i="4"/>
  <c r="W55" i="4"/>
  <c r="X55" i="4" s="1"/>
  <c r="Z55" i="4"/>
  <c r="AA55" i="4"/>
  <c r="AB55" i="4"/>
  <c r="AC55" i="4"/>
  <c r="T56" i="4"/>
  <c r="W56" i="4"/>
  <c r="X56" i="4" s="1"/>
  <c r="Z56" i="4"/>
  <c r="AA56" i="4"/>
  <c r="AB56" i="4"/>
  <c r="AC56" i="4"/>
  <c r="T57" i="4"/>
  <c r="W57" i="4"/>
  <c r="X57" i="4" s="1"/>
  <c r="Z57" i="4"/>
  <c r="AA57" i="4"/>
  <c r="AB57" i="4"/>
  <c r="AC57" i="4"/>
  <c r="T58" i="4"/>
  <c r="W58" i="4"/>
  <c r="X58" i="4" s="1"/>
  <c r="Z58" i="4"/>
  <c r="AA58" i="4"/>
  <c r="AB58" i="4"/>
  <c r="AC58" i="4"/>
  <c r="T59" i="4"/>
  <c r="W59" i="4"/>
  <c r="X59" i="4" s="1"/>
  <c r="Z59" i="4"/>
  <c r="AA59" i="4"/>
  <c r="AB59" i="4"/>
  <c r="AC59" i="4"/>
  <c r="T60" i="4"/>
  <c r="W60" i="4"/>
  <c r="X60" i="4" s="1"/>
  <c r="Z60" i="4"/>
  <c r="AA60" i="4"/>
  <c r="AB60" i="4"/>
  <c r="AC60" i="4"/>
  <c r="AC54" i="4"/>
  <c r="AB54" i="4"/>
  <c r="AA54" i="4"/>
  <c r="Z54" i="4"/>
  <c r="W54" i="4"/>
  <c r="X54" i="4" s="1"/>
  <c r="T54" i="4"/>
  <c r="AC53" i="4"/>
  <c r="AB53" i="4"/>
  <c r="AA53" i="4"/>
  <c r="Z53" i="4"/>
  <c r="W53" i="4"/>
  <c r="X53" i="4" s="1"/>
  <c r="T53" i="4"/>
  <c r="AC52" i="4"/>
  <c r="AB52" i="4"/>
  <c r="AA52" i="4"/>
  <c r="Z52" i="4"/>
  <c r="W52" i="4"/>
  <c r="X52" i="4" s="1"/>
  <c r="T52" i="4"/>
  <c r="AC51" i="4"/>
  <c r="AB51" i="4"/>
  <c r="AA51" i="4"/>
  <c r="Z51" i="4"/>
  <c r="W51" i="4"/>
  <c r="X51" i="4" s="1"/>
  <c r="T51" i="4"/>
  <c r="AC50" i="4"/>
  <c r="AB50" i="4"/>
  <c r="AA50" i="4"/>
  <c r="Z50" i="4"/>
  <c r="W50" i="4"/>
  <c r="X50" i="4" s="1"/>
  <c r="T50" i="4"/>
  <c r="AC49" i="4"/>
  <c r="AB49" i="4"/>
  <c r="AA49" i="4"/>
  <c r="Z49" i="4"/>
  <c r="W49" i="4"/>
  <c r="X49" i="4" s="1"/>
  <c r="T49" i="4"/>
  <c r="AC48" i="4"/>
  <c r="AB48" i="4"/>
  <c r="AA48" i="4"/>
  <c r="Z48" i="4"/>
  <c r="W48" i="4"/>
  <c r="X48" i="4" s="1"/>
  <c r="T48" i="4"/>
  <c r="AC47" i="4"/>
  <c r="AB47" i="4"/>
  <c r="AA47" i="4"/>
  <c r="Z47" i="4"/>
  <c r="W47" i="4"/>
  <c r="X47" i="4" s="1"/>
  <c r="T47" i="4"/>
  <c r="AC46" i="4"/>
  <c r="AB46" i="4"/>
  <c r="AA46" i="4"/>
  <c r="Z46" i="4"/>
  <c r="W46" i="4"/>
  <c r="X46" i="4" s="1"/>
  <c r="T46" i="4"/>
  <c r="AC45" i="4"/>
  <c r="AB45" i="4"/>
  <c r="AA45" i="4"/>
  <c r="Z45" i="4"/>
  <c r="W45" i="4"/>
  <c r="X45" i="4" s="1"/>
  <c r="T45" i="4"/>
  <c r="AC44" i="4"/>
  <c r="AB44" i="4"/>
  <c r="AA44" i="4"/>
  <c r="Z44" i="4"/>
  <c r="W44" i="4"/>
  <c r="X44" i="4" s="1"/>
  <c r="T44" i="4"/>
  <c r="AC43" i="4"/>
  <c r="AB43" i="4"/>
  <c r="AA43" i="4"/>
  <c r="Z43" i="4"/>
  <c r="W43" i="4"/>
  <c r="X43" i="4" s="1"/>
  <c r="T43" i="4"/>
  <c r="AC42" i="4"/>
  <c r="AB42" i="4"/>
  <c r="AA42" i="4"/>
  <c r="Z42" i="4"/>
  <c r="W42" i="4"/>
  <c r="X42" i="4" s="1"/>
  <c r="T42" i="4"/>
  <c r="AC41" i="4"/>
  <c r="AB41" i="4"/>
  <c r="AA41" i="4"/>
  <c r="Z41" i="4"/>
  <c r="W41" i="4"/>
  <c r="T41" i="4"/>
  <c r="AC40" i="4"/>
  <c r="AB40" i="4"/>
  <c r="AA40" i="4"/>
  <c r="Z40" i="4"/>
  <c r="W40" i="4"/>
  <c r="X40" i="4" s="1"/>
  <c r="T40" i="4"/>
  <c r="AC39" i="4"/>
  <c r="AB39" i="4"/>
  <c r="AA39" i="4"/>
  <c r="Z39" i="4"/>
  <c r="W39" i="4"/>
  <c r="T39" i="4"/>
  <c r="AC38" i="4"/>
  <c r="AB38" i="4"/>
  <c r="AA38" i="4"/>
  <c r="Z38" i="4"/>
  <c r="W38" i="4"/>
  <c r="X38" i="4" s="1"/>
  <c r="T38" i="4"/>
  <c r="AC37" i="4"/>
  <c r="AB37" i="4"/>
  <c r="AA37" i="4"/>
  <c r="Z37" i="4"/>
  <c r="W37" i="4"/>
  <c r="X37" i="4" s="1"/>
  <c r="T37" i="4"/>
  <c r="AC36" i="4"/>
  <c r="AB36" i="4"/>
  <c r="AA36" i="4"/>
  <c r="Z36" i="4"/>
  <c r="W36" i="4"/>
  <c r="X36" i="4" s="1"/>
  <c r="T36" i="4"/>
  <c r="AC35" i="4"/>
  <c r="AB35" i="4"/>
  <c r="AA35" i="4"/>
  <c r="Z35" i="4"/>
  <c r="W35" i="4"/>
  <c r="X35" i="4" s="1"/>
  <c r="T35" i="4"/>
  <c r="AC34" i="4"/>
  <c r="AB34" i="4"/>
  <c r="AA34" i="4"/>
  <c r="Z34" i="4"/>
  <c r="W34" i="4"/>
  <c r="X34" i="4" s="1"/>
  <c r="T34" i="4"/>
  <c r="AC33" i="4"/>
  <c r="AB33" i="4"/>
  <c r="AA33" i="4"/>
  <c r="Z33" i="4"/>
  <c r="W33" i="4"/>
  <c r="X33" i="4" s="1"/>
  <c r="T33" i="4"/>
  <c r="AC32" i="4"/>
  <c r="AB32" i="4"/>
  <c r="AA32" i="4"/>
  <c r="Z32" i="4"/>
  <c r="W32" i="4"/>
  <c r="X32" i="4" s="1"/>
  <c r="T32" i="4"/>
  <c r="AC31" i="4"/>
  <c r="AB31" i="4"/>
  <c r="AA31" i="4"/>
  <c r="Z31" i="4"/>
  <c r="W31" i="4"/>
  <c r="X31" i="4" s="1"/>
  <c r="T31" i="4"/>
  <c r="AC30" i="4"/>
  <c r="AB30" i="4"/>
  <c r="AA30" i="4"/>
  <c r="Z30" i="4"/>
  <c r="W30" i="4"/>
  <c r="X30" i="4" s="1"/>
  <c r="T30" i="4"/>
  <c r="AC29" i="4"/>
  <c r="AB29" i="4"/>
  <c r="AA29" i="4"/>
  <c r="Z29" i="4"/>
  <c r="W29" i="4"/>
  <c r="X29" i="4" s="1"/>
  <c r="T29" i="4"/>
  <c r="AC28" i="4"/>
  <c r="AB28" i="4"/>
  <c r="AA28" i="4"/>
  <c r="Z28" i="4"/>
  <c r="W28" i="4"/>
  <c r="X28" i="4" s="1"/>
  <c r="T28" i="4"/>
  <c r="AC27" i="4"/>
  <c r="AB27" i="4"/>
  <c r="AA27" i="4"/>
  <c r="Z27" i="4"/>
  <c r="W27" i="4"/>
  <c r="X27" i="4" s="1"/>
  <c r="T27" i="4"/>
  <c r="AC26" i="4"/>
  <c r="AB26" i="4"/>
  <c r="AA26" i="4"/>
  <c r="Z26" i="4"/>
  <c r="W26" i="4"/>
  <c r="X26" i="4" s="1"/>
  <c r="T26" i="4"/>
  <c r="AC25" i="4"/>
  <c r="AB25" i="4"/>
  <c r="AA25" i="4"/>
  <c r="Z25" i="4"/>
  <c r="W25" i="4"/>
  <c r="X25" i="4" s="1"/>
  <c r="T25" i="4"/>
  <c r="AC24" i="4"/>
  <c r="AB24" i="4"/>
  <c r="AA24" i="4"/>
  <c r="Z24" i="4"/>
  <c r="W24" i="4"/>
  <c r="X24" i="4" s="1"/>
  <c r="T24" i="4"/>
  <c r="AC23" i="4"/>
  <c r="AB23" i="4"/>
  <c r="AA23" i="4"/>
  <c r="Z23" i="4"/>
  <c r="W23" i="4"/>
  <c r="X23" i="4" s="1"/>
  <c r="T23" i="4"/>
  <c r="AC22" i="4"/>
  <c r="AB22" i="4"/>
  <c r="AA22" i="4"/>
  <c r="Z22" i="4"/>
  <c r="W22" i="4"/>
  <c r="X22" i="4" s="1"/>
  <c r="T22" i="4"/>
  <c r="AC21" i="4"/>
  <c r="AB21" i="4"/>
  <c r="AA21" i="4"/>
  <c r="Z21" i="4"/>
  <c r="W21" i="4"/>
  <c r="X21" i="4" s="1"/>
  <c r="T21" i="4"/>
  <c r="AC20" i="4"/>
  <c r="AB20" i="4"/>
  <c r="AA20" i="4"/>
  <c r="Z20" i="4"/>
  <c r="W20" i="4"/>
  <c r="X20" i="4" s="1"/>
  <c r="T20" i="4"/>
  <c r="AC19" i="4"/>
  <c r="AB19" i="4"/>
  <c r="AA19" i="4"/>
  <c r="Z19" i="4"/>
  <c r="W19" i="4"/>
  <c r="X19" i="4" s="1"/>
  <c r="T19" i="4"/>
  <c r="AC18" i="4"/>
  <c r="AB18" i="4"/>
  <c r="AA18" i="4"/>
  <c r="Z18" i="4"/>
  <c r="W18" i="4"/>
  <c r="X18" i="4" s="1"/>
  <c r="T18" i="4"/>
  <c r="AC17" i="4"/>
  <c r="AB17" i="4"/>
  <c r="AA17" i="4"/>
  <c r="Z17" i="4"/>
  <c r="W17" i="4"/>
  <c r="X17" i="4" s="1"/>
  <c r="T17" i="4"/>
  <c r="AC16" i="4"/>
  <c r="AB16" i="4"/>
  <c r="AA16" i="4"/>
  <c r="Z16" i="4"/>
  <c r="W16" i="4"/>
  <c r="X16" i="4" s="1"/>
  <c r="T16" i="4"/>
  <c r="AC15" i="4"/>
  <c r="AB15" i="4"/>
  <c r="AA15" i="4"/>
  <c r="Z15" i="4"/>
  <c r="W15" i="4"/>
  <c r="X15" i="4" s="1"/>
  <c r="T15" i="4"/>
  <c r="J15" i="4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I63" i="1"/>
  <c r="U42" i="2"/>
  <c r="AI63" i="4" l="1"/>
  <c r="Q63" i="4" s="1"/>
  <c r="S63" i="4" s="1"/>
  <c r="AD60" i="4"/>
  <c r="Q20" i="5"/>
  <c r="S20" i="5" s="1"/>
  <c r="AJ21" i="5"/>
  <c r="AH21" i="5"/>
  <c r="U21" i="5" s="1"/>
  <c r="AI21" i="5"/>
  <c r="H22" i="5"/>
  <c r="Y22" i="5" s="1"/>
  <c r="N22" i="5" s="1"/>
  <c r="G23" i="5"/>
  <c r="AF62" i="4"/>
  <c r="Q33" i="5"/>
  <c r="S33" i="5" s="1"/>
  <c r="AH34" i="5"/>
  <c r="U34" i="5" s="1"/>
  <c r="AJ34" i="5"/>
  <c r="H35" i="5"/>
  <c r="Y35" i="5" s="1"/>
  <c r="N35" i="5" s="1"/>
  <c r="G36" i="5"/>
  <c r="G15" i="4"/>
  <c r="AD57" i="4"/>
  <c r="AE60" i="4"/>
  <c r="AG60" i="4" s="1"/>
  <c r="AF61" i="4"/>
  <c r="G16" i="4"/>
  <c r="AD56" i="4"/>
  <c r="AD58" i="4"/>
  <c r="AF58" i="4"/>
  <c r="AE57" i="4"/>
  <c r="AG57" i="4" s="1"/>
  <c r="AF21" i="4"/>
  <c r="AF24" i="4"/>
  <c r="AD55" i="4"/>
  <c r="AD62" i="4"/>
  <c r="AD61" i="4"/>
  <c r="AF57" i="4"/>
  <c r="AE62" i="4"/>
  <c r="AG62" i="4" s="1"/>
  <c r="AE61" i="4"/>
  <c r="AG61" i="4" s="1"/>
  <c r="AF17" i="4"/>
  <c r="AD21" i="4"/>
  <c r="AD26" i="4"/>
  <c r="AD29" i="4"/>
  <c r="AD54" i="4"/>
  <c r="AD59" i="4"/>
  <c r="AE56" i="4"/>
  <c r="AG56" i="4" s="1"/>
  <c r="AE26" i="4"/>
  <c r="AE29" i="4"/>
  <c r="AF40" i="4"/>
  <c r="AE54" i="4"/>
  <c r="AG54" i="4" s="1"/>
  <c r="AD39" i="4"/>
  <c r="AD41" i="4"/>
  <c r="AF59" i="4"/>
  <c r="AE58" i="4"/>
  <c r="AG58" i="4" s="1"/>
  <c r="AF55" i="4"/>
  <c r="AE39" i="4"/>
  <c r="AG39" i="4" s="1"/>
  <c r="AE41" i="4"/>
  <c r="AF54" i="4"/>
  <c r="AF60" i="4"/>
  <c r="AE59" i="4"/>
  <c r="AG59" i="4" s="1"/>
  <c r="AF56" i="4"/>
  <c r="AE55" i="4"/>
  <c r="AG55" i="4" s="1"/>
  <c r="AF39" i="4"/>
  <c r="AF41" i="4"/>
  <c r="AF50" i="4"/>
  <c r="AE30" i="4"/>
  <c r="AG30" i="4" s="1"/>
  <c r="AE32" i="4"/>
  <c r="AE36" i="4"/>
  <c r="AF52" i="4"/>
  <c r="AF27" i="4"/>
  <c r="AE17" i="4"/>
  <c r="AF42" i="4"/>
  <c r="AF43" i="4"/>
  <c r="AE51" i="4"/>
  <c r="AG51" i="4" s="1"/>
  <c r="AF51" i="4"/>
  <c r="AF30" i="4"/>
  <c r="AF38" i="4"/>
  <c r="AE16" i="4"/>
  <c r="AG16" i="4" s="1"/>
  <c r="AE19" i="4"/>
  <c r="AF23" i="4"/>
  <c r="AF25" i="4"/>
  <c r="AD27" i="4"/>
  <c r="AF45" i="4"/>
  <c r="AF46" i="4"/>
  <c r="AD16" i="4"/>
  <c r="AD17" i="4"/>
  <c r="AF26" i="4"/>
  <c r="AD37" i="4"/>
  <c r="AD38" i="4"/>
  <c r="AD46" i="4"/>
  <c r="AF48" i="4"/>
  <c r="AD53" i="4"/>
  <c r="AE22" i="4"/>
  <c r="AE28" i="4"/>
  <c r="AG28" i="4" s="1"/>
  <c r="AE37" i="4"/>
  <c r="AE38" i="4"/>
  <c r="AD40" i="4"/>
  <c r="AD45" i="4"/>
  <c r="AE46" i="4"/>
  <c r="AE53" i="4"/>
  <c r="AG53" i="4" s="1"/>
  <c r="AF18" i="4"/>
  <c r="AD19" i="4"/>
  <c r="AD20" i="4"/>
  <c r="AE21" i="4"/>
  <c r="AG21" i="4" s="1"/>
  <c r="AF22" i="4"/>
  <c r="AE25" i="4"/>
  <c r="AG25" i="4" s="1"/>
  <c r="AE27" i="4"/>
  <c r="AD33" i="4"/>
  <c r="AF34" i="4"/>
  <c r="AD36" i="4"/>
  <c r="AF37" i="4"/>
  <c r="AE40" i="4"/>
  <c r="AE45" i="4"/>
  <c r="AF49" i="4"/>
  <c r="AE52" i="4"/>
  <c r="AG52" i="4" s="1"/>
  <c r="AF53" i="4"/>
  <c r="AD15" i="4"/>
  <c r="P15" i="4" s="1"/>
  <c r="AD18" i="4"/>
  <c r="AD35" i="4"/>
  <c r="AD43" i="4"/>
  <c r="AD44" i="4"/>
  <c r="AD47" i="4"/>
  <c r="AD48" i="4"/>
  <c r="AE20" i="4"/>
  <c r="AD23" i="4"/>
  <c r="AE15" i="4"/>
  <c r="AF16" i="4"/>
  <c r="AE18" i="4"/>
  <c r="AF19" i="4"/>
  <c r="AF20" i="4"/>
  <c r="AD22" i="4"/>
  <c r="AE23" i="4"/>
  <c r="AG23" i="4" s="1"/>
  <c r="AF28" i="4"/>
  <c r="AD31" i="4"/>
  <c r="AF32" i="4"/>
  <c r="AD34" i="4"/>
  <c r="AE35" i="4"/>
  <c r="AF36" i="4"/>
  <c r="X41" i="4"/>
  <c r="AD42" i="4"/>
  <c r="AE43" i="4"/>
  <c r="AG43" i="4" s="1"/>
  <c r="AE44" i="4"/>
  <c r="AG44" i="4" s="1"/>
  <c r="AE47" i="4"/>
  <c r="AG47" i="4" s="1"/>
  <c r="AE48" i="4"/>
  <c r="AG48" i="4" s="1"/>
  <c r="AD49" i="4"/>
  <c r="AD50" i="4"/>
  <c r="AF15" i="4"/>
  <c r="AE24" i="4"/>
  <c r="AE34" i="4"/>
  <c r="AG34" i="4" s="1"/>
  <c r="AF35" i="4"/>
  <c r="AE42" i="4"/>
  <c r="AF44" i="4"/>
  <c r="AF47" i="4"/>
  <c r="AE49" i="4"/>
  <c r="AG49" i="4" s="1"/>
  <c r="AE50" i="4"/>
  <c r="AG50" i="4" s="1"/>
  <c r="AD51" i="4"/>
  <c r="AD52" i="4"/>
  <c r="J30" i="4"/>
  <c r="J31" i="4" s="1"/>
  <c r="J32" i="4" s="1"/>
  <c r="J33" i="4" s="1"/>
  <c r="J34" i="4" s="1"/>
  <c r="J35" i="4" s="1"/>
  <c r="J36" i="4" s="1"/>
  <c r="J37" i="4" s="1"/>
  <c r="J38" i="4" s="1"/>
  <c r="J39" i="4" s="1"/>
  <c r="J40" i="4" s="1"/>
  <c r="J41" i="4" s="1"/>
  <c r="J42" i="4" s="1"/>
  <c r="J43" i="4" s="1"/>
  <c r="J44" i="4" s="1"/>
  <c r="J45" i="4" s="1"/>
  <c r="J46" i="4" s="1"/>
  <c r="J47" i="4" s="1"/>
  <c r="J48" i="4" s="1"/>
  <c r="J49" i="4" s="1"/>
  <c r="J50" i="4" s="1"/>
  <c r="J51" i="4" s="1"/>
  <c r="J52" i="4" s="1"/>
  <c r="J53" i="4" s="1"/>
  <c r="J54" i="4" s="1"/>
  <c r="J55" i="4" s="1"/>
  <c r="J56" i="4" s="1"/>
  <c r="J57" i="4" s="1"/>
  <c r="J58" i="4" s="1"/>
  <c r="J59" i="4" s="1"/>
  <c r="J60" i="4" s="1"/>
  <c r="J61" i="4" s="1"/>
  <c r="J62" i="4" s="1"/>
  <c r="Y15" i="4"/>
  <c r="N15" i="4" s="1"/>
  <c r="AD25" i="4"/>
  <c r="AE31" i="4"/>
  <c r="AG31" i="4" s="1"/>
  <c r="AE33" i="4"/>
  <c r="AG33" i="4" s="1"/>
  <c r="AD24" i="4"/>
  <c r="AD28" i="4"/>
  <c r="AF29" i="4"/>
  <c r="AD30" i="4"/>
  <c r="AF31" i="4"/>
  <c r="AD32" i="4"/>
  <c r="AF33" i="4"/>
  <c r="X39" i="4"/>
  <c r="X36" i="3"/>
  <c r="AG15" i="4" l="1"/>
  <c r="AG41" i="4"/>
  <c r="AG35" i="4"/>
  <c r="AG18" i="4"/>
  <c r="AG36" i="4"/>
  <c r="AG19" i="4"/>
  <c r="AG27" i="4"/>
  <c r="AG42" i="4"/>
  <c r="AG38" i="4"/>
  <c r="AG37" i="4"/>
  <c r="AG32" i="4"/>
  <c r="AG29" i="4"/>
  <c r="AG26" i="4"/>
  <c r="AG24" i="4"/>
  <c r="AG22" i="4"/>
  <c r="AG20" i="4"/>
  <c r="AG17" i="4"/>
  <c r="H23" i="5"/>
  <c r="Y23" i="5" s="1"/>
  <c r="N23" i="5" s="1"/>
  <c r="G24" i="5"/>
  <c r="Q21" i="5"/>
  <c r="S21" i="5" s="1"/>
  <c r="AJ22" i="5"/>
  <c r="AH22" i="5"/>
  <c r="U22" i="5" s="1"/>
  <c r="AI34" i="5"/>
  <c r="Q34" i="5" s="1"/>
  <c r="S34" i="5" s="1"/>
  <c r="AH35" i="5"/>
  <c r="U35" i="5" s="1"/>
  <c r="AJ35" i="5"/>
  <c r="AI35" i="5"/>
  <c r="H36" i="5"/>
  <c r="Y36" i="5" s="1"/>
  <c r="N36" i="5" s="1"/>
  <c r="G37" i="5"/>
  <c r="G17" i="4"/>
  <c r="H17" i="4" s="1"/>
  <c r="H16" i="4"/>
  <c r="Y16" i="4" s="1"/>
  <c r="N16" i="4" s="1"/>
  <c r="AH15" i="4"/>
  <c r="U15" i="4" s="1"/>
  <c r="AJ15" i="4"/>
  <c r="U41" i="2"/>
  <c r="U40" i="2"/>
  <c r="AI22" i="5" l="1"/>
  <c r="Q22" i="5" s="1"/>
  <c r="S22" i="5" s="1"/>
  <c r="H65" i="5" s="1"/>
  <c r="J65" i="5" s="1"/>
  <c r="S65" i="5" s="1"/>
  <c r="AH23" i="5"/>
  <c r="U23" i="5" s="1"/>
  <c r="AJ23" i="5"/>
  <c r="G25" i="5"/>
  <c r="H24" i="5"/>
  <c r="Y24" i="5" s="1"/>
  <c r="N24" i="5" s="1"/>
  <c r="H37" i="5"/>
  <c r="Y37" i="5" s="1"/>
  <c r="N37" i="5" s="1"/>
  <c r="AH36" i="5"/>
  <c r="U36" i="5" s="1"/>
  <c r="AJ36" i="5"/>
  <c r="AI36" i="5"/>
  <c r="S35" i="5"/>
  <c r="Q35" i="5"/>
  <c r="G18" i="4"/>
  <c r="H18" i="4" s="1"/>
  <c r="AH16" i="4"/>
  <c r="U16" i="4" s="1"/>
  <c r="Y17" i="4"/>
  <c r="N17" i="4" s="1"/>
  <c r="AJ17" i="4" s="1"/>
  <c r="AJ16" i="4"/>
  <c r="AI15" i="4"/>
  <c r="Q15" i="4" s="1"/>
  <c r="U71" i="2"/>
  <c r="U72" i="2"/>
  <c r="U73" i="2"/>
  <c r="U74" i="2"/>
  <c r="U75" i="2"/>
  <c r="U76" i="2"/>
  <c r="U77" i="2"/>
  <c r="U78" i="2"/>
  <c r="U66" i="2"/>
  <c r="U67" i="2"/>
  <c r="U68" i="2"/>
  <c r="U69" i="2"/>
  <c r="U70" i="2"/>
  <c r="U65" i="2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14" i="1"/>
  <c r="AF14" i="1" s="1"/>
  <c r="AI16" i="4" l="1"/>
  <c r="Q16" i="4" s="1"/>
  <c r="G19" i="4"/>
  <c r="H19" i="4" s="1"/>
  <c r="Y18" i="4"/>
  <c r="N18" i="4" s="1"/>
  <c r="AH18" i="4" s="1"/>
  <c r="U18" i="4" s="1"/>
  <c r="AI23" i="5"/>
  <c r="Q23" i="5" s="1"/>
  <c r="S23" i="5" s="1"/>
  <c r="G26" i="5"/>
  <c r="H25" i="5"/>
  <c r="Y25" i="5" s="1"/>
  <c r="N25" i="5" s="1"/>
  <c r="AJ24" i="5"/>
  <c r="AH24" i="5"/>
  <c r="U24" i="5" s="1"/>
  <c r="AH37" i="5"/>
  <c r="U37" i="5" s="1"/>
  <c r="AJ37" i="5"/>
  <c r="AI37" i="5"/>
  <c r="S36" i="5"/>
  <c r="Q36" i="5"/>
  <c r="S15" i="4"/>
  <c r="Y19" i="4"/>
  <c r="N19" i="4" s="1"/>
  <c r="G20" i="4"/>
  <c r="H20" i="4" s="1"/>
  <c r="AB26" i="2"/>
  <c r="Z26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69" i="2"/>
  <c r="AB56" i="2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25" i="2"/>
  <c r="Z24" i="2"/>
  <c r="S46" i="1"/>
  <c r="S47" i="1"/>
  <c r="S48" i="1"/>
  <c r="S49" i="1"/>
  <c r="S50" i="1"/>
  <c r="S51" i="1"/>
  <c r="S52" i="1"/>
  <c r="AB25" i="2"/>
  <c r="AB24" i="2"/>
  <c r="G53" i="1"/>
  <c r="H53" i="1" s="1"/>
  <c r="J53" i="1"/>
  <c r="T53" i="1"/>
  <c r="W53" i="1"/>
  <c r="X53" i="1" s="1"/>
  <c r="AC53" i="1"/>
  <c r="AF53" i="1" s="1"/>
  <c r="T5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14" i="1"/>
  <c r="AG40" i="4" l="1"/>
  <c r="AG45" i="4"/>
  <c r="AG46" i="4"/>
  <c r="AJ18" i="4"/>
  <c r="AI24" i="5"/>
  <c r="Q24" i="5" s="1"/>
  <c r="S24" i="5" s="1"/>
  <c r="G27" i="5"/>
  <c r="H26" i="5"/>
  <c r="Y26" i="5" s="1"/>
  <c r="N26" i="5" s="1"/>
  <c r="AH25" i="5"/>
  <c r="U25" i="5" s="1"/>
  <c r="AJ25" i="5"/>
  <c r="Q37" i="5"/>
  <c r="S16" i="4"/>
  <c r="AI18" i="4"/>
  <c r="AH19" i="4"/>
  <c r="U19" i="4" s="1"/>
  <c r="AJ19" i="4"/>
  <c r="Y20" i="4"/>
  <c r="N20" i="4" s="1"/>
  <c r="G21" i="4"/>
  <c r="H21" i="4" s="1"/>
  <c r="Y53" i="1"/>
  <c r="N53" i="1" s="1"/>
  <c r="AE53" i="1"/>
  <c r="AG53" i="1" s="1"/>
  <c r="AD53" i="1"/>
  <c r="J46" i="1"/>
  <c r="J47" i="1"/>
  <c r="J48" i="1"/>
  <c r="J49" i="1"/>
  <c r="J50" i="1"/>
  <c r="J51" i="1"/>
  <c r="J52" i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W16" i="1"/>
  <c r="X16" i="1" s="1"/>
  <c r="AC16" i="1"/>
  <c r="AF16" i="1" s="1"/>
  <c r="W17" i="1"/>
  <c r="X17" i="1" s="1"/>
  <c r="AC17" i="1"/>
  <c r="AF17" i="1" s="1"/>
  <c r="W18" i="1"/>
  <c r="X18" i="1" s="1"/>
  <c r="AC18" i="1"/>
  <c r="AF18" i="1" s="1"/>
  <c r="W19" i="1"/>
  <c r="X19" i="1" s="1"/>
  <c r="AC19" i="1"/>
  <c r="AF19" i="1" s="1"/>
  <c r="W20" i="1"/>
  <c r="X20" i="1" s="1"/>
  <c r="AC20" i="1"/>
  <c r="AF20" i="1" s="1"/>
  <c r="W21" i="1"/>
  <c r="X21" i="1" s="1"/>
  <c r="AC21" i="1"/>
  <c r="AF21" i="1" s="1"/>
  <c r="W22" i="1"/>
  <c r="X22" i="1" s="1"/>
  <c r="AC22" i="1"/>
  <c r="AF22" i="1" s="1"/>
  <c r="W23" i="1"/>
  <c r="X23" i="1" s="1"/>
  <c r="AC23" i="1"/>
  <c r="AF23" i="1" s="1"/>
  <c r="W24" i="1"/>
  <c r="X24" i="1" s="1"/>
  <c r="AC24" i="1"/>
  <c r="AF24" i="1" s="1"/>
  <c r="W25" i="1"/>
  <c r="X25" i="1" s="1"/>
  <c r="AC25" i="1"/>
  <c r="AF25" i="1" s="1"/>
  <c r="W26" i="1"/>
  <c r="X26" i="1" s="1"/>
  <c r="AC26" i="1"/>
  <c r="AF26" i="1" s="1"/>
  <c r="W27" i="1"/>
  <c r="X27" i="1" s="1"/>
  <c r="AC27" i="1"/>
  <c r="AF27" i="1" s="1"/>
  <c r="W28" i="1"/>
  <c r="X28" i="1" s="1"/>
  <c r="AC28" i="1"/>
  <c r="AF28" i="1" s="1"/>
  <c r="W29" i="1"/>
  <c r="X29" i="1" s="1"/>
  <c r="AC29" i="1"/>
  <c r="AF29" i="1" s="1"/>
  <c r="W30" i="1"/>
  <c r="X30" i="1" s="1"/>
  <c r="AC30" i="1"/>
  <c r="AF30" i="1" s="1"/>
  <c r="W31" i="1"/>
  <c r="X31" i="1" s="1"/>
  <c r="AC31" i="1"/>
  <c r="AF31" i="1" s="1"/>
  <c r="W32" i="1"/>
  <c r="X32" i="1" s="1"/>
  <c r="AC32" i="1"/>
  <c r="AF32" i="1" s="1"/>
  <c r="W33" i="1"/>
  <c r="X33" i="1" s="1"/>
  <c r="AC33" i="1"/>
  <c r="AF33" i="1" s="1"/>
  <c r="W34" i="1"/>
  <c r="X34" i="1" s="1"/>
  <c r="AC34" i="1"/>
  <c r="AF34" i="1" s="1"/>
  <c r="W35" i="1"/>
  <c r="X35" i="1" s="1"/>
  <c r="AC35" i="1"/>
  <c r="AF35" i="1" s="1"/>
  <c r="W36" i="1"/>
  <c r="X36" i="1" s="1"/>
  <c r="AC36" i="1"/>
  <c r="AF36" i="1" s="1"/>
  <c r="W37" i="1"/>
  <c r="X37" i="1" s="1"/>
  <c r="AC37" i="1"/>
  <c r="AF37" i="1" s="1"/>
  <c r="W38" i="1"/>
  <c r="X38" i="1" s="1"/>
  <c r="AC38" i="1"/>
  <c r="AF38" i="1" s="1"/>
  <c r="W39" i="1"/>
  <c r="X39" i="1" s="1"/>
  <c r="AC39" i="1"/>
  <c r="W40" i="1"/>
  <c r="X40" i="1" s="1"/>
  <c r="AC40" i="1"/>
  <c r="AF40" i="1" s="1"/>
  <c r="W41" i="1"/>
  <c r="X41" i="1" s="1"/>
  <c r="AC41" i="1"/>
  <c r="AF41" i="1" s="1"/>
  <c r="W42" i="1"/>
  <c r="X42" i="1" s="1"/>
  <c r="AC42" i="1"/>
  <c r="AF42" i="1" s="1"/>
  <c r="W43" i="1"/>
  <c r="X43" i="1" s="1"/>
  <c r="AC43" i="1"/>
  <c r="AF43" i="1" s="1"/>
  <c r="W44" i="1"/>
  <c r="X44" i="1" s="1"/>
  <c r="AC44" i="1"/>
  <c r="AF44" i="1" s="1"/>
  <c r="W45" i="1"/>
  <c r="X45" i="1" s="1"/>
  <c r="AC45" i="1"/>
  <c r="AF45" i="1" s="1"/>
  <c r="W46" i="1"/>
  <c r="X46" i="1" s="1"/>
  <c r="AC46" i="1"/>
  <c r="AF46" i="1" s="1"/>
  <c r="W47" i="1"/>
  <c r="X47" i="1" s="1"/>
  <c r="AC47" i="1"/>
  <c r="AF47" i="1" s="1"/>
  <c r="W48" i="1"/>
  <c r="X48" i="1" s="1"/>
  <c r="AC48" i="1"/>
  <c r="W49" i="1"/>
  <c r="X49" i="1" s="1"/>
  <c r="AC49" i="1"/>
  <c r="AF49" i="1" s="1"/>
  <c r="W50" i="1"/>
  <c r="X50" i="1" s="1"/>
  <c r="AC50" i="1"/>
  <c r="AF50" i="1" s="1"/>
  <c r="W51" i="1"/>
  <c r="X51" i="1" s="1"/>
  <c r="AC51" i="1"/>
  <c r="AF51" i="1" s="1"/>
  <c r="W52" i="1"/>
  <c r="X52" i="1" s="1"/>
  <c r="AC52" i="1"/>
  <c r="AF52" i="1" s="1"/>
  <c r="AB15" i="2"/>
  <c r="AB14" i="2"/>
  <c r="AB47" i="2"/>
  <c r="AB46" i="2"/>
  <c r="AB45" i="2"/>
  <c r="AB17" i="2"/>
  <c r="AB16" i="2"/>
  <c r="R6" i="3"/>
  <c r="S6" i="3"/>
  <c r="T6" i="3"/>
  <c r="U6" i="3"/>
  <c r="W15" i="1"/>
  <c r="AC15" i="1"/>
  <c r="AF15" i="1" s="1"/>
  <c r="AB94" i="2"/>
  <c r="AB93" i="2"/>
  <c r="AB92" i="2"/>
  <c r="AB91" i="2"/>
  <c r="AB90" i="2"/>
  <c r="AB89" i="2"/>
  <c r="AB88" i="2"/>
  <c r="AB87" i="2"/>
  <c r="AB86" i="2"/>
  <c r="AB85" i="2"/>
  <c r="AB84" i="2"/>
  <c r="AB83" i="2"/>
  <c r="AB82" i="2"/>
  <c r="AB81" i="2"/>
  <c r="AB80" i="2"/>
  <c r="AB79" i="2"/>
  <c r="AB78" i="2"/>
  <c r="AB77" i="2"/>
  <c r="AB76" i="2"/>
  <c r="AB75" i="2"/>
  <c r="AB74" i="2"/>
  <c r="AB73" i="2"/>
  <c r="AB72" i="2"/>
  <c r="AB71" i="2"/>
  <c r="AB70" i="2"/>
  <c r="AB69" i="2"/>
  <c r="AB68" i="2"/>
  <c r="AB67" i="2"/>
  <c r="AB66" i="2"/>
  <c r="AB65" i="2"/>
  <c r="AB64" i="2"/>
  <c r="AB63" i="2"/>
  <c r="AB62" i="2"/>
  <c r="AB61" i="2"/>
  <c r="AB60" i="2"/>
  <c r="AB59" i="2"/>
  <c r="AB58" i="2"/>
  <c r="AB57" i="2"/>
  <c r="AB55" i="2"/>
  <c r="AB54" i="2"/>
  <c r="AB53" i="2"/>
  <c r="AB52" i="2"/>
  <c r="AB51" i="2"/>
  <c r="AB50" i="2"/>
  <c r="AB49" i="2"/>
  <c r="AB48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3" i="2"/>
  <c r="AB22" i="2"/>
  <c r="AB21" i="2"/>
  <c r="AB20" i="2"/>
  <c r="AB19" i="2"/>
  <c r="AB18" i="2"/>
  <c r="AB13" i="2"/>
  <c r="AB12" i="2"/>
  <c r="AB11" i="2"/>
  <c r="AB10" i="2"/>
  <c r="AB9" i="2"/>
  <c r="AB8" i="2"/>
  <c r="AB7" i="2"/>
  <c r="AB6" i="2"/>
  <c r="AB5" i="2"/>
  <c r="AB4" i="2"/>
  <c r="AB3" i="2"/>
  <c r="BL6" i="3"/>
  <c r="BK6" i="3"/>
  <c r="BJ6" i="3"/>
  <c r="BI6" i="3"/>
  <c r="BH6" i="3"/>
  <c r="BG6" i="3"/>
  <c r="BF6" i="3"/>
  <c r="BE6" i="3"/>
  <c r="BD6" i="3"/>
  <c r="BC6" i="3"/>
  <c r="BB6" i="3"/>
  <c r="BA6" i="3"/>
  <c r="AZ6" i="3"/>
  <c r="AY6" i="3"/>
  <c r="AX6" i="3"/>
  <c r="AW6" i="3"/>
  <c r="AV6" i="3"/>
  <c r="AU6" i="3"/>
  <c r="AT6" i="3"/>
  <c r="AS6" i="3"/>
  <c r="AR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Q6" i="3"/>
  <c r="P6" i="3"/>
  <c r="O6" i="3"/>
  <c r="N6" i="3"/>
  <c r="M6" i="3"/>
  <c r="K6" i="3"/>
  <c r="I6" i="3"/>
  <c r="H6" i="3"/>
  <c r="G6" i="3"/>
  <c r="F6" i="3"/>
  <c r="E6" i="3"/>
  <c r="D6" i="3"/>
  <c r="C6" i="3"/>
  <c r="L4" i="3"/>
  <c r="L6" i="3" s="1"/>
  <c r="J4" i="3"/>
  <c r="J6" i="3" s="1"/>
  <c r="Q18" i="4" l="1"/>
  <c r="S18" i="4" s="1"/>
  <c r="AI25" i="5"/>
  <c r="Q25" i="5" s="1"/>
  <c r="S25" i="5" s="1"/>
  <c r="AJ26" i="5"/>
  <c r="AH26" i="5"/>
  <c r="U26" i="5" s="1"/>
  <c r="H27" i="5"/>
  <c r="Y27" i="5" s="1"/>
  <c r="N27" i="5" s="1"/>
  <c r="G28" i="5"/>
  <c r="AH17" i="4"/>
  <c r="U17" i="4" s="1"/>
  <c r="AJ20" i="4"/>
  <c r="AH20" i="4"/>
  <c r="U20" i="4" s="1"/>
  <c r="AI19" i="4"/>
  <c r="Q19" i="4" s="1"/>
  <c r="S19" i="4" s="1"/>
  <c r="Y21" i="4"/>
  <c r="N21" i="4" s="1"/>
  <c r="G22" i="4"/>
  <c r="H22" i="4" s="1"/>
  <c r="AE21" i="1"/>
  <c r="AG21" i="1" s="1"/>
  <c r="AD48" i="1"/>
  <c r="AF48" i="1"/>
  <c r="AE39" i="1"/>
  <c r="AG39" i="1" s="1"/>
  <c r="AF39" i="1"/>
  <c r="Y52" i="1"/>
  <c r="N52" i="1" s="1"/>
  <c r="Y50" i="1"/>
  <c r="N50" i="1" s="1"/>
  <c r="AI50" i="1" s="1"/>
  <c r="Y48" i="1"/>
  <c r="N48" i="1" s="1"/>
  <c r="AI48" i="1" s="1"/>
  <c r="Y46" i="1"/>
  <c r="N46" i="1" s="1"/>
  <c r="AH53" i="1"/>
  <c r="U53" i="1" s="1"/>
  <c r="AI53" i="1"/>
  <c r="AH54" i="1"/>
  <c r="U54" i="1" s="1"/>
  <c r="AI54" i="1"/>
  <c r="AD39" i="1"/>
  <c r="AE36" i="1"/>
  <c r="AG36" i="1" s="1"/>
  <c r="AD31" i="1"/>
  <c r="AE30" i="1"/>
  <c r="AG30" i="1" s="1"/>
  <c r="AE24" i="1"/>
  <c r="AG24" i="1" s="1"/>
  <c r="AE44" i="1"/>
  <c r="AG44" i="1" s="1"/>
  <c r="AD32" i="1"/>
  <c r="AE27" i="1"/>
  <c r="AG27" i="1" s="1"/>
  <c r="AJ53" i="1"/>
  <c r="AD16" i="1"/>
  <c r="P16" i="1" s="1"/>
  <c r="AJ54" i="1"/>
  <c r="AE32" i="1"/>
  <c r="AG32" i="1" s="1"/>
  <c r="AE19" i="1"/>
  <c r="AG19" i="1" s="1"/>
  <c r="AD52" i="1"/>
  <c r="AD51" i="1"/>
  <c r="AD36" i="1"/>
  <c r="AE34" i="1"/>
  <c r="AG34" i="1" s="1"/>
  <c r="AD28" i="1"/>
  <c r="AE50" i="1"/>
  <c r="AG50" i="1" s="1"/>
  <c r="AE31" i="1"/>
  <c r="AG31" i="1" s="1"/>
  <c r="AE48" i="1"/>
  <c r="AG48" i="1" s="1"/>
  <c r="AD40" i="1"/>
  <c r="AE35" i="1"/>
  <c r="AG35" i="1" s="1"/>
  <c r="AD50" i="1"/>
  <c r="AD44" i="1"/>
  <c r="AD38" i="1"/>
  <c r="AE28" i="1"/>
  <c r="AG28" i="1" s="1"/>
  <c r="AE40" i="1"/>
  <c r="AG40" i="1" s="1"/>
  <c r="AE51" i="1"/>
  <c r="AG51" i="1" s="1"/>
  <c r="AE47" i="1"/>
  <c r="AG47" i="1" s="1"/>
  <c r="AE43" i="1"/>
  <c r="AG43" i="1" s="1"/>
  <c r="AD34" i="1"/>
  <c r="AD30" i="1"/>
  <c r="Y51" i="1"/>
  <c r="N51" i="1" s="1"/>
  <c r="AI51" i="1" s="1"/>
  <c r="Y49" i="1"/>
  <c r="N49" i="1" s="1"/>
  <c r="AI49" i="1" s="1"/>
  <c r="AD47" i="1"/>
  <c r="AD43" i="1"/>
  <c r="AD35" i="1"/>
  <c r="AD27" i="1"/>
  <c r="AE52" i="1"/>
  <c r="AG52" i="1" s="1"/>
  <c r="AD49" i="1"/>
  <c r="AE45" i="1"/>
  <c r="AG45" i="1" s="1"/>
  <c r="AE41" i="1"/>
  <c r="AG41" i="1" s="1"/>
  <c r="AE26" i="1"/>
  <c r="AG26" i="1" s="1"/>
  <c r="AD26" i="1"/>
  <c r="AD24" i="1"/>
  <c r="AE23" i="1"/>
  <c r="AG23" i="1" s="1"/>
  <c r="AD23" i="1"/>
  <c r="AE22" i="1"/>
  <c r="AG22" i="1" s="1"/>
  <c r="AD22" i="1"/>
  <c r="AE20" i="1"/>
  <c r="AG20" i="1" s="1"/>
  <c r="AD20" i="1"/>
  <c r="AD19" i="1"/>
  <c r="AE18" i="1"/>
  <c r="AG18" i="1" s="1"/>
  <c r="AD18" i="1"/>
  <c r="AE16" i="1"/>
  <c r="AG16" i="1" s="1"/>
  <c r="Y47" i="1"/>
  <c r="N47" i="1" s="1"/>
  <c r="AI47" i="1" s="1"/>
  <c r="AE46" i="1"/>
  <c r="AG46" i="1" s="1"/>
  <c r="AE42" i="1"/>
  <c r="AG42" i="1" s="1"/>
  <c r="AE38" i="1"/>
  <c r="AG38" i="1" s="1"/>
  <c r="AE49" i="1"/>
  <c r="AG49" i="1" s="1"/>
  <c r="AD46" i="1"/>
  <c r="AD42" i="1"/>
  <c r="AD45" i="1"/>
  <c r="AD41" i="1"/>
  <c r="AD37" i="1"/>
  <c r="AE37" i="1"/>
  <c r="AG37" i="1" s="1"/>
  <c r="AD33" i="1"/>
  <c r="AE33" i="1"/>
  <c r="AG33" i="1" s="1"/>
  <c r="AD29" i="1"/>
  <c r="AE29" i="1"/>
  <c r="AG29" i="1" s="1"/>
  <c r="AD25" i="1"/>
  <c r="AE25" i="1"/>
  <c r="AG25" i="1" s="1"/>
  <c r="AD21" i="1"/>
  <c r="AD17" i="1"/>
  <c r="P17" i="1" s="1"/>
  <c r="AE17" i="1"/>
  <c r="AG17" i="1" s="1"/>
  <c r="AE15" i="1"/>
  <c r="AG15" i="1" s="1"/>
  <c r="AD15" i="1"/>
  <c r="P15" i="1" s="1"/>
  <c r="X15" i="1"/>
  <c r="J14" i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AJ27" i="5" l="1"/>
  <c r="AH27" i="5"/>
  <c r="U27" i="5" s="1"/>
  <c r="AI27" i="5"/>
  <c r="G29" i="5"/>
  <c r="H28" i="5"/>
  <c r="Y28" i="5" s="1"/>
  <c r="N28" i="5" s="1"/>
  <c r="AI26" i="5"/>
  <c r="Q26" i="5" s="1"/>
  <c r="S26" i="5" s="1"/>
  <c r="AI17" i="4"/>
  <c r="Q17" i="4" s="1"/>
  <c r="S17" i="4" s="1"/>
  <c r="AH21" i="4"/>
  <c r="U21" i="4" s="1"/>
  <c r="AJ21" i="4"/>
  <c r="AI20" i="4"/>
  <c r="Q20" i="4" s="1"/>
  <c r="S20" i="4" s="1"/>
  <c r="Y22" i="4"/>
  <c r="N22" i="4" s="1"/>
  <c r="G23" i="4"/>
  <c r="H23" i="4" s="1"/>
  <c r="AD14" i="1"/>
  <c r="P14" i="1" s="1"/>
  <c r="Q53" i="1"/>
  <c r="AH46" i="1"/>
  <c r="U46" i="1" s="1"/>
  <c r="AI46" i="1"/>
  <c r="AH52" i="1"/>
  <c r="U52" i="1" s="1"/>
  <c r="AI52" i="1"/>
  <c r="AE14" i="1"/>
  <c r="AG14" i="1" s="1"/>
  <c r="AJ51" i="1"/>
  <c r="Q51" i="1" s="1"/>
  <c r="AH48" i="1"/>
  <c r="U48" i="1" s="1"/>
  <c r="AJ48" i="1"/>
  <c r="Q48" i="1" s="1"/>
  <c r="AH49" i="1"/>
  <c r="U49" i="1" s="1"/>
  <c r="AJ49" i="1"/>
  <c r="Q49" i="1" s="1"/>
  <c r="AJ52" i="1"/>
  <c r="AJ50" i="1"/>
  <c r="Q50" i="1" s="1"/>
  <c r="AJ46" i="1"/>
  <c r="AH50" i="1"/>
  <c r="U50" i="1" s="1"/>
  <c r="AH51" i="1"/>
  <c r="U51" i="1" s="1"/>
  <c r="AH47" i="1"/>
  <c r="U47" i="1" s="1"/>
  <c r="AJ47" i="1"/>
  <c r="Q47" i="1" s="1"/>
  <c r="Q27" i="5" l="1"/>
  <c r="S27" i="5" s="1"/>
  <c r="G30" i="5"/>
  <c r="H29" i="5"/>
  <c r="Y29" i="5" s="1"/>
  <c r="N29" i="5" s="1"/>
  <c r="AH28" i="5"/>
  <c r="U28" i="5" s="1"/>
  <c r="AJ28" i="5"/>
  <c r="AJ22" i="4"/>
  <c r="AH22" i="4"/>
  <c r="U22" i="4" s="1"/>
  <c r="AI21" i="4"/>
  <c r="Q21" i="4" s="1"/>
  <c r="S21" i="4" s="1"/>
  <c r="Y23" i="4"/>
  <c r="N23" i="4" s="1"/>
  <c r="G24" i="4"/>
  <c r="H24" i="4" s="1"/>
  <c r="G15" i="1"/>
  <c r="H15" i="1" s="1"/>
  <c r="Q46" i="1"/>
  <c r="Q52" i="1"/>
  <c r="N14" i="1"/>
  <c r="AH14" i="1" s="1"/>
  <c r="U14" i="1" s="1"/>
  <c r="AJ14" i="1" l="1"/>
  <c r="AI14" i="1"/>
  <c r="AI28" i="5"/>
  <c r="Q28" i="5" s="1"/>
  <c r="S28" i="5" s="1"/>
  <c r="AH29" i="5"/>
  <c r="U29" i="5" s="1"/>
  <c r="AJ29" i="5"/>
  <c r="AI29" i="5"/>
  <c r="H30" i="5"/>
  <c r="Y30" i="5" s="1"/>
  <c r="N30" i="5" s="1"/>
  <c r="G31" i="5"/>
  <c r="AI22" i="4"/>
  <c r="Q22" i="4" s="1"/>
  <c r="S22" i="4" s="1"/>
  <c r="AH23" i="4"/>
  <c r="U23" i="4" s="1"/>
  <c r="AJ23" i="4"/>
  <c r="Y24" i="4"/>
  <c r="N24" i="4" s="1"/>
  <c r="G25" i="4"/>
  <c r="H25" i="4" s="1"/>
  <c r="G16" i="1"/>
  <c r="H16" i="1" s="1"/>
  <c r="Y15" i="1"/>
  <c r="N15" i="1" s="1"/>
  <c r="Q14" i="1" l="1"/>
  <c r="S14" i="1" s="1"/>
  <c r="AJ30" i="5"/>
  <c r="AH30" i="5"/>
  <c r="U30" i="5" s="1"/>
  <c r="AI30" i="5"/>
  <c r="Q29" i="5"/>
  <c r="S29" i="5" s="1"/>
  <c r="G32" i="5"/>
  <c r="H32" i="5" s="1"/>
  <c r="Y32" i="5" s="1"/>
  <c r="N32" i="5" s="1"/>
  <c r="H31" i="5"/>
  <c r="Y31" i="5" s="1"/>
  <c r="N31" i="5" s="1"/>
  <c r="AH24" i="4"/>
  <c r="U24" i="4" s="1"/>
  <c r="AJ24" i="4"/>
  <c r="Y25" i="4"/>
  <c r="N25" i="4" s="1"/>
  <c r="G26" i="4"/>
  <c r="AI23" i="4"/>
  <c r="Q23" i="4" s="1"/>
  <c r="S23" i="4" s="1"/>
  <c r="AJ15" i="1"/>
  <c r="AH15" i="1"/>
  <c r="U15" i="1" s="1"/>
  <c r="Y16" i="1"/>
  <c r="N16" i="1" s="1"/>
  <c r="G17" i="1"/>
  <c r="H17" i="1" s="1"/>
  <c r="AJ31" i="5" l="1"/>
  <c r="AH31" i="5"/>
  <c r="U31" i="5" s="1"/>
  <c r="AI31" i="5"/>
  <c r="AH32" i="5"/>
  <c r="U32" i="5" s="1"/>
  <c r="AJ32" i="5"/>
  <c r="AI32" i="5"/>
  <c r="Q30" i="5"/>
  <c r="S30" i="5" s="1"/>
  <c r="G27" i="4"/>
  <c r="H27" i="4" s="1"/>
  <c r="H26" i="4"/>
  <c r="Y26" i="4" s="1"/>
  <c r="N26" i="4" s="1"/>
  <c r="AI24" i="4"/>
  <c r="Q24" i="4" s="1"/>
  <c r="S24" i="4" s="1"/>
  <c r="AH25" i="4"/>
  <c r="U25" i="4" s="1"/>
  <c r="AJ25" i="4"/>
  <c r="AI15" i="1"/>
  <c r="Q15" i="1" s="1"/>
  <c r="S15" i="1" s="1"/>
  <c r="AH16" i="1"/>
  <c r="U16" i="1" s="1"/>
  <c r="AJ16" i="1"/>
  <c r="Y17" i="1"/>
  <c r="N17" i="1" s="1"/>
  <c r="G18" i="1"/>
  <c r="H18" i="1" s="1"/>
  <c r="Q32" i="5" l="1"/>
  <c r="S32" i="5" s="1"/>
  <c r="Q31" i="5"/>
  <c r="S31" i="5" s="1"/>
  <c r="G28" i="4"/>
  <c r="H28" i="4" s="1"/>
  <c r="Y27" i="4"/>
  <c r="N27" i="4" s="1"/>
  <c r="AJ27" i="4" s="1"/>
  <c r="AH26" i="4"/>
  <c r="U26" i="4" s="1"/>
  <c r="AJ26" i="4"/>
  <c r="AI25" i="4"/>
  <c r="Q25" i="4" s="1"/>
  <c r="S25" i="4" s="1"/>
  <c r="AI16" i="1"/>
  <c r="Q16" i="1" s="1"/>
  <c r="S16" i="1" s="1"/>
  <c r="AJ17" i="1"/>
  <c r="AH17" i="1"/>
  <c r="U17" i="1" s="1"/>
  <c r="Y18" i="1"/>
  <c r="N18" i="1" s="1"/>
  <c r="G19" i="1"/>
  <c r="H19" i="1" s="1"/>
  <c r="Y28" i="4" l="1"/>
  <c r="N28" i="4" s="1"/>
  <c r="AH28" i="4" s="1"/>
  <c r="U28" i="4" s="1"/>
  <c r="G29" i="4"/>
  <c r="H29" i="4" s="1"/>
  <c r="AH27" i="4"/>
  <c r="U27" i="4" s="1"/>
  <c r="AI26" i="4"/>
  <c r="Q26" i="4" s="1"/>
  <c r="S26" i="4" s="1"/>
  <c r="AI17" i="1"/>
  <c r="Q17" i="1" s="1"/>
  <c r="S17" i="1" s="1"/>
  <c r="AH18" i="1"/>
  <c r="U18" i="1" s="1"/>
  <c r="AJ18" i="1"/>
  <c r="Y19" i="1"/>
  <c r="N19" i="1" s="1"/>
  <c r="G20" i="1"/>
  <c r="H20" i="1" s="1"/>
  <c r="G30" i="4" l="1"/>
  <c r="H30" i="4" s="1"/>
  <c r="AJ28" i="4"/>
  <c r="Y29" i="4"/>
  <c r="N29" i="4" s="1"/>
  <c r="AJ29" i="4" s="1"/>
  <c r="AI27" i="4"/>
  <c r="Q27" i="4" s="1"/>
  <c r="S27" i="4" s="1"/>
  <c r="AI18" i="1"/>
  <c r="Q18" i="1" s="1"/>
  <c r="S18" i="1" s="1"/>
  <c r="AI28" i="4"/>
  <c r="Y20" i="1"/>
  <c r="N20" i="1" s="1"/>
  <c r="G21" i="1"/>
  <c r="H21" i="1" s="1"/>
  <c r="AH19" i="1"/>
  <c r="U19" i="1" s="1"/>
  <c r="AJ19" i="1"/>
  <c r="Y30" i="4" l="1"/>
  <c r="N30" i="4" s="1"/>
  <c r="AH30" i="4" s="1"/>
  <c r="U30" i="4" s="1"/>
  <c r="G31" i="4"/>
  <c r="H31" i="4" s="1"/>
  <c r="Q28" i="4"/>
  <c r="S28" i="4" s="1"/>
  <c r="AH29" i="4"/>
  <c r="U29" i="4" s="1"/>
  <c r="AI19" i="1"/>
  <c r="Q19" i="1" s="1"/>
  <c r="S19" i="1" s="1"/>
  <c r="AJ20" i="1"/>
  <c r="AH20" i="1"/>
  <c r="U20" i="1" s="1"/>
  <c r="Y21" i="1"/>
  <c r="N21" i="1" s="1"/>
  <c r="G22" i="1"/>
  <c r="H22" i="1" s="1"/>
  <c r="AJ30" i="4" l="1"/>
  <c r="G32" i="4"/>
  <c r="H32" i="4" s="1"/>
  <c r="Y31" i="4"/>
  <c r="N31" i="4" s="1"/>
  <c r="AJ31" i="4" s="1"/>
  <c r="AI29" i="4"/>
  <c r="Q29" i="4" s="1"/>
  <c r="S29" i="4" s="1"/>
  <c r="AI30" i="4"/>
  <c r="AI20" i="1"/>
  <c r="Q20" i="1" s="1"/>
  <c r="S20" i="1" s="1"/>
  <c r="AJ21" i="1"/>
  <c r="AH21" i="1"/>
  <c r="U21" i="1" s="1"/>
  <c r="Y22" i="1"/>
  <c r="N22" i="1" s="1"/>
  <c r="G23" i="1"/>
  <c r="H23" i="1" s="1"/>
  <c r="G33" i="4" l="1"/>
  <c r="H33" i="4" s="1"/>
  <c r="Y32" i="4"/>
  <c r="N32" i="4" s="1"/>
  <c r="AJ32" i="4" s="1"/>
  <c r="Q30" i="4"/>
  <c r="S30" i="4" s="1"/>
  <c r="AH31" i="4"/>
  <c r="U31" i="4" s="1"/>
  <c r="AI21" i="1"/>
  <c r="Q21" i="1" s="1"/>
  <c r="S21" i="1" s="1"/>
  <c r="AH22" i="1"/>
  <c r="U22" i="1" s="1"/>
  <c r="AJ22" i="1"/>
  <c r="Y23" i="1"/>
  <c r="N23" i="1" s="1"/>
  <c r="G24" i="1"/>
  <c r="H24" i="1" s="1"/>
  <c r="G34" i="4" l="1"/>
  <c r="H34" i="4" s="1"/>
  <c r="Y34" i="4" s="1"/>
  <c r="N34" i="4" s="1"/>
  <c r="Y33" i="4"/>
  <c r="N33" i="4" s="1"/>
  <c r="AH33" i="4" s="1"/>
  <c r="U33" i="4" s="1"/>
  <c r="AH32" i="4"/>
  <c r="U32" i="4" s="1"/>
  <c r="AI31" i="4"/>
  <c r="Q31" i="4" s="1"/>
  <c r="S31" i="4" s="1"/>
  <c r="AI22" i="1"/>
  <c r="Q22" i="1" s="1"/>
  <c r="S22" i="1" s="1"/>
  <c r="AH23" i="1"/>
  <c r="U23" i="1" s="1"/>
  <c r="AJ23" i="1"/>
  <c r="Y24" i="1"/>
  <c r="N24" i="1" s="1"/>
  <c r="G25" i="1"/>
  <c r="H25" i="1" s="1"/>
  <c r="G35" i="4" l="1"/>
  <c r="H35" i="4" s="1"/>
  <c r="AJ33" i="4"/>
  <c r="AI33" i="4"/>
  <c r="AI32" i="4"/>
  <c r="Q32" i="4" s="1"/>
  <c r="S32" i="4" s="1"/>
  <c r="Y35" i="4"/>
  <c r="N35" i="4" s="1"/>
  <c r="AJ35" i="4" s="1"/>
  <c r="G36" i="4"/>
  <c r="H36" i="4" s="1"/>
  <c r="AH34" i="4"/>
  <c r="U34" i="4" s="1"/>
  <c r="AJ34" i="4"/>
  <c r="AI23" i="1"/>
  <c r="Q23" i="1" s="1"/>
  <c r="S23" i="1" s="1"/>
  <c r="AJ24" i="1"/>
  <c r="AH24" i="1"/>
  <c r="U24" i="1" s="1"/>
  <c r="Y25" i="1"/>
  <c r="N25" i="1" s="1"/>
  <c r="G26" i="1"/>
  <c r="H26" i="1" s="1"/>
  <c r="Q33" i="4" l="1"/>
  <c r="S33" i="4" s="1"/>
  <c r="AH35" i="4"/>
  <c r="U35" i="4" s="1"/>
  <c r="G37" i="4"/>
  <c r="H37" i="4" s="1"/>
  <c r="Y36" i="4"/>
  <c r="N36" i="4" s="1"/>
  <c r="AI34" i="4"/>
  <c r="Q34" i="4" s="1"/>
  <c r="S34" i="4" s="1"/>
  <c r="AI24" i="1"/>
  <c r="Q24" i="1" s="1"/>
  <c r="S24" i="1" s="1"/>
  <c r="AJ25" i="1"/>
  <c r="AH25" i="1"/>
  <c r="U25" i="1" s="1"/>
  <c r="Y26" i="1"/>
  <c r="N26" i="1" s="1"/>
  <c r="G27" i="1"/>
  <c r="H27" i="1" s="1"/>
  <c r="AH36" i="4" l="1"/>
  <c r="U36" i="4" s="1"/>
  <c r="AJ36" i="4"/>
  <c r="Y37" i="4"/>
  <c r="N37" i="4" s="1"/>
  <c r="G38" i="4"/>
  <c r="H38" i="4" s="1"/>
  <c r="AI35" i="4"/>
  <c r="Q35" i="4" s="1"/>
  <c r="S35" i="4" s="1"/>
  <c r="AI25" i="1"/>
  <c r="Q25" i="1" s="1"/>
  <c r="S25" i="1" s="1"/>
  <c r="AJ26" i="1"/>
  <c r="AH26" i="1"/>
  <c r="U26" i="1" s="1"/>
  <c r="Y27" i="1"/>
  <c r="N27" i="1" s="1"/>
  <c r="G28" i="1"/>
  <c r="H28" i="1" s="1"/>
  <c r="AI36" i="4" l="1"/>
  <c r="Q36" i="4" s="1"/>
  <c r="S36" i="4" s="1"/>
  <c r="AJ37" i="4"/>
  <c r="AH37" i="4"/>
  <c r="U37" i="4" s="1"/>
  <c r="Y38" i="4"/>
  <c r="N38" i="4" s="1"/>
  <c r="G39" i="4"/>
  <c r="H39" i="4" s="1"/>
  <c r="AI26" i="1"/>
  <c r="Q26" i="1" s="1"/>
  <c r="S26" i="1" s="1"/>
  <c r="Y28" i="1"/>
  <c r="N28" i="1" s="1"/>
  <c r="G29" i="1"/>
  <c r="H29" i="1" s="1"/>
  <c r="AH27" i="1"/>
  <c r="U27" i="1" s="1"/>
  <c r="AJ27" i="1"/>
  <c r="AI37" i="4" l="1"/>
  <c r="Q37" i="4" s="1"/>
  <c r="S37" i="4" s="1"/>
  <c r="AH38" i="4"/>
  <c r="U38" i="4" s="1"/>
  <c r="AJ38" i="4"/>
  <c r="G40" i="4"/>
  <c r="H40" i="4" s="1"/>
  <c r="Y39" i="4"/>
  <c r="N39" i="4" s="1"/>
  <c r="AI27" i="1"/>
  <c r="Q27" i="1" s="1"/>
  <c r="S27" i="1" s="1"/>
  <c r="AJ28" i="1"/>
  <c r="AH28" i="1"/>
  <c r="U28" i="1" s="1"/>
  <c r="Y29" i="1"/>
  <c r="N29" i="1" s="1"/>
  <c r="G30" i="1"/>
  <c r="H30" i="1" s="1"/>
  <c r="AI38" i="4" l="1"/>
  <c r="Q38" i="4" s="1"/>
  <c r="S38" i="4" s="1"/>
  <c r="G41" i="4"/>
  <c r="H41" i="4" s="1"/>
  <c r="Y40" i="4"/>
  <c r="N40" i="4" s="1"/>
  <c r="AH39" i="4"/>
  <c r="U39" i="4" s="1"/>
  <c r="AJ39" i="4"/>
  <c r="AI28" i="1"/>
  <c r="Q28" i="1" s="1"/>
  <c r="S28" i="1" s="1"/>
  <c r="Y30" i="1"/>
  <c r="N30" i="1" s="1"/>
  <c r="G31" i="1"/>
  <c r="H31" i="1" s="1"/>
  <c r="AJ29" i="1"/>
  <c r="AH29" i="1"/>
  <c r="U29" i="1" s="1"/>
  <c r="AJ40" i="4" l="1"/>
  <c r="AH40" i="4"/>
  <c r="U40" i="4" s="1"/>
  <c r="AI39" i="4"/>
  <c r="Q39" i="4" s="1"/>
  <c r="S39" i="4" s="1"/>
  <c r="Y41" i="4"/>
  <c r="N41" i="4" s="1"/>
  <c r="G42" i="4"/>
  <c r="H42" i="4" s="1"/>
  <c r="AI29" i="1"/>
  <c r="Q29" i="1" s="1"/>
  <c r="S29" i="1" s="1"/>
  <c r="H55" i="1" s="1"/>
  <c r="AH30" i="1"/>
  <c r="U30" i="1" s="1"/>
  <c r="AJ30" i="1"/>
  <c r="Y31" i="1"/>
  <c r="N31" i="1" s="1"/>
  <c r="G32" i="1"/>
  <c r="H32" i="1" s="1"/>
  <c r="AI40" i="4" l="1"/>
  <c r="Q40" i="4" s="1"/>
  <c r="S40" i="4" s="1"/>
  <c r="G43" i="4"/>
  <c r="H43" i="4" s="1"/>
  <c r="Y42" i="4"/>
  <c r="N42" i="4" s="1"/>
  <c r="AH41" i="4"/>
  <c r="U41" i="4" s="1"/>
  <c r="AJ41" i="4"/>
  <c r="AI30" i="1"/>
  <c r="Q30" i="1" s="1"/>
  <c r="S30" i="1" s="1"/>
  <c r="Y32" i="1"/>
  <c r="N32" i="1" s="1"/>
  <c r="G33" i="1"/>
  <c r="H33" i="1" s="1"/>
  <c r="AH31" i="1"/>
  <c r="U31" i="1" s="1"/>
  <c r="AJ31" i="1"/>
  <c r="AI41" i="4" l="1"/>
  <c r="Q41" i="4" s="1"/>
  <c r="S41" i="4" s="1"/>
  <c r="AH42" i="4"/>
  <c r="U42" i="4" s="1"/>
  <c r="AJ42" i="4"/>
  <c r="Y43" i="4"/>
  <c r="N43" i="4" s="1"/>
  <c r="G44" i="4"/>
  <c r="H44" i="4" s="1"/>
  <c r="AI31" i="1"/>
  <c r="Q31" i="1" s="1"/>
  <c r="S31" i="1" s="1"/>
  <c r="AH32" i="1"/>
  <c r="U32" i="1" s="1"/>
  <c r="AJ32" i="1"/>
  <c r="Y33" i="1"/>
  <c r="N33" i="1" s="1"/>
  <c r="G34" i="1"/>
  <c r="H34" i="1" s="1"/>
  <c r="AH43" i="4" l="1"/>
  <c r="U43" i="4" s="1"/>
  <c r="AJ43" i="4"/>
  <c r="Y44" i="4"/>
  <c r="N44" i="4" s="1"/>
  <c r="G45" i="4"/>
  <c r="H45" i="4" s="1"/>
  <c r="AI42" i="4"/>
  <c r="Q42" i="4" s="1"/>
  <c r="S42" i="4" s="1"/>
  <c r="AI32" i="1"/>
  <c r="Q32" i="1" s="1"/>
  <c r="S32" i="1" s="1"/>
  <c r="Y34" i="1"/>
  <c r="N34" i="1" s="1"/>
  <c r="G35" i="1"/>
  <c r="H35" i="1" s="1"/>
  <c r="AH33" i="1"/>
  <c r="U33" i="1" s="1"/>
  <c r="AJ33" i="1"/>
  <c r="AI43" i="4" l="1"/>
  <c r="Q43" i="4" s="1"/>
  <c r="S43" i="4" s="1"/>
  <c r="AH44" i="4"/>
  <c r="U44" i="4" s="1"/>
  <c r="AJ44" i="4"/>
  <c r="G46" i="4"/>
  <c r="H46" i="4" s="1"/>
  <c r="Y45" i="4"/>
  <c r="N45" i="4" s="1"/>
  <c r="AI33" i="1"/>
  <c r="Q33" i="1" s="1"/>
  <c r="S33" i="1" s="1"/>
  <c r="AH34" i="1"/>
  <c r="U34" i="1" s="1"/>
  <c r="AJ34" i="1"/>
  <c r="Y35" i="1"/>
  <c r="N35" i="1" s="1"/>
  <c r="G36" i="1"/>
  <c r="G37" i="1" l="1"/>
  <c r="H37" i="1" s="1"/>
  <c r="H36" i="1"/>
  <c r="Y36" i="1" s="1"/>
  <c r="N36" i="1" s="1"/>
  <c r="AI44" i="4"/>
  <c r="Q44" i="4" s="1"/>
  <c r="S44" i="4" s="1"/>
  <c r="G47" i="4"/>
  <c r="H47" i="4" s="1"/>
  <c r="Y46" i="4"/>
  <c r="N46" i="4" s="1"/>
  <c r="AJ45" i="4"/>
  <c r="AH45" i="4"/>
  <c r="U45" i="4" s="1"/>
  <c r="G38" i="1"/>
  <c r="H38" i="1" s="1"/>
  <c r="AI34" i="1"/>
  <c r="Q34" i="1" s="1"/>
  <c r="S34" i="1" s="1"/>
  <c r="Y37" i="1"/>
  <c r="N37" i="1" s="1"/>
  <c r="AH37" i="1" s="1"/>
  <c r="U37" i="1" s="1"/>
  <c r="AJ35" i="1"/>
  <c r="AH35" i="1"/>
  <c r="U35" i="1" s="1"/>
  <c r="AJ46" i="4" l="1"/>
  <c r="AH46" i="4"/>
  <c r="U46" i="4" s="1"/>
  <c r="AI45" i="4"/>
  <c r="Q45" i="4" s="1"/>
  <c r="S45" i="4" s="1"/>
  <c r="G48" i="4"/>
  <c r="Y47" i="4"/>
  <c r="N47" i="4" s="1"/>
  <c r="G39" i="1"/>
  <c r="H39" i="1" s="1"/>
  <c r="Y38" i="1"/>
  <c r="N38" i="1" s="1"/>
  <c r="AI35" i="1"/>
  <c r="Q35" i="1" s="1"/>
  <c r="S35" i="1" s="1"/>
  <c r="AI37" i="1"/>
  <c r="AJ37" i="1"/>
  <c r="AH36" i="1"/>
  <c r="U36" i="1" s="1"/>
  <c r="AJ36" i="1"/>
  <c r="G49" i="4" l="1"/>
  <c r="H49" i="4" s="1"/>
  <c r="H48" i="4"/>
  <c r="Y48" i="4" s="1"/>
  <c r="N48" i="4" s="1"/>
  <c r="AI46" i="4"/>
  <c r="Q46" i="4" s="1"/>
  <c r="S46" i="4" s="1"/>
  <c r="AH47" i="4"/>
  <c r="U47" i="4" s="1"/>
  <c r="AJ47" i="4"/>
  <c r="Y39" i="1"/>
  <c r="N39" i="1" s="1"/>
  <c r="AH39" i="1" s="1"/>
  <c r="U39" i="1" s="1"/>
  <c r="G40" i="1"/>
  <c r="H40" i="1" s="1"/>
  <c r="AJ38" i="1"/>
  <c r="AH38" i="1"/>
  <c r="U38" i="1" s="1"/>
  <c r="Q37" i="1"/>
  <c r="S37" i="1" s="1"/>
  <c r="AI36" i="1"/>
  <c r="Q36" i="1" s="1"/>
  <c r="S36" i="1" s="1"/>
  <c r="G50" i="4" l="1"/>
  <c r="H50" i="4" s="1"/>
  <c r="Y49" i="4"/>
  <c r="N49" i="4" s="1"/>
  <c r="AJ49" i="4" s="1"/>
  <c r="AI47" i="4"/>
  <c r="Q47" i="4" s="1"/>
  <c r="S47" i="4" s="1"/>
  <c r="AJ48" i="4"/>
  <c r="AH48" i="4"/>
  <c r="U48" i="4" s="1"/>
  <c r="AJ39" i="1"/>
  <c r="G41" i="1"/>
  <c r="H41" i="1" s="1"/>
  <c r="AI39" i="1"/>
  <c r="AI38" i="1"/>
  <c r="Q38" i="1" s="1"/>
  <c r="S38" i="1" s="1"/>
  <c r="Y40" i="1"/>
  <c r="N40" i="1" s="1"/>
  <c r="AH40" i="1" s="1"/>
  <c r="U40" i="1" s="1"/>
  <c r="G42" i="1"/>
  <c r="H42" i="1" s="1"/>
  <c r="G51" i="4" l="1"/>
  <c r="H51" i="4" s="1"/>
  <c r="Y50" i="4"/>
  <c r="N50" i="4" s="1"/>
  <c r="AJ50" i="4" s="1"/>
  <c r="AH49" i="4"/>
  <c r="U49" i="4" s="1"/>
  <c r="AI49" i="4"/>
  <c r="Q49" i="4" s="1"/>
  <c r="S49" i="4" s="1"/>
  <c r="G52" i="4"/>
  <c r="H52" i="4" s="1"/>
  <c r="AI48" i="4"/>
  <c r="Q48" i="4" s="1"/>
  <c r="S48" i="4" s="1"/>
  <c r="Y41" i="1"/>
  <c r="N41" i="1" s="1"/>
  <c r="AJ41" i="1" s="1"/>
  <c r="Q39" i="1"/>
  <c r="S39" i="1" s="1"/>
  <c r="AJ40" i="1"/>
  <c r="AI40" i="1"/>
  <c r="G43" i="1"/>
  <c r="H43" i="1" s="1"/>
  <c r="Y42" i="1"/>
  <c r="N42" i="1" s="1"/>
  <c r="Y51" i="4" l="1"/>
  <c r="N51" i="4" s="1"/>
  <c r="AJ51" i="4" s="1"/>
  <c r="AH50" i="4"/>
  <c r="U50" i="4" s="1"/>
  <c r="AI50" i="4"/>
  <c r="Q50" i="4" s="1"/>
  <c r="S50" i="4" s="1"/>
  <c r="H65" i="4" s="1"/>
  <c r="Y52" i="4"/>
  <c r="N52" i="4" s="1"/>
  <c r="G53" i="4"/>
  <c r="AH41" i="1"/>
  <c r="U41" i="1" s="1"/>
  <c r="Q40" i="1"/>
  <c r="S40" i="1" s="1"/>
  <c r="AI41" i="1"/>
  <c r="Q41" i="1" s="1"/>
  <c r="S41" i="1" s="1"/>
  <c r="G44" i="1"/>
  <c r="H44" i="1" s="1"/>
  <c r="Y43" i="1"/>
  <c r="N43" i="1" s="1"/>
  <c r="AH42" i="1"/>
  <c r="U42" i="1" s="1"/>
  <c r="AJ42" i="1"/>
  <c r="AH51" i="4" l="1"/>
  <c r="U51" i="4" s="1"/>
  <c r="G54" i="4"/>
  <c r="H54" i="4" s="1"/>
  <c r="Y54" i="4" s="1"/>
  <c r="N54" i="4" s="1"/>
  <c r="H53" i="4"/>
  <c r="Y53" i="4" s="1"/>
  <c r="N53" i="4" s="1"/>
  <c r="H66" i="4"/>
  <c r="J65" i="4"/>
  <c r="K66" i="4" s="1"/>
  <c r="S66" i="4" s="1"/>
  <c r="AI51" i="4"/>
  <c r="Q51" i="4" s="1"/>
  <c r="S51" i="4" s="1"/>
  <c r="G55" i="4"/>
  <c r="H55" i="4" s="1"/>
  <c r="AH52" i="4"/>
  <c r="U52" i="4" s="1"/>
  <c r="AJ52" i="4"/>
  <c r="AI42" i="1"/>
  <c r="Q42" i="1" s="1"/>
  <c r="S42" i="1" s="1"/>
  <c r="AJ43" i="1"/>
  <c r="AH43" i="1"/>
  <c r="U43" i="1" s="1"/>
  <c r="Y44" i="1"/>
  <c r="N44" i="1" s="1"/>
  <c r="G45" i="1"/>
  <c r="H45" i="1" s="1"/>
  <c r="I66" i="4" l="1"/>
  <c r="S65" i="4"/>
  <c r="AI52" i="4"/>
  <c r="Q52" i="4" s="1"/>
  <c r="S52" i="4" s="1"/>
  <c r="Y55" i="4"/>
  <c r="N55" i="4" s="1"/>
  <c r="G56" i="4"/>
  <c r="G57" i="4" s="1"/>
  <c r="AH54" i="4"/>
  <c r="U54" i="4" s="1"/>
  <c r="AJ54" i="4"/>
  <c r="AH53" i="4"/>
  <c r="U53" i="4" s="1"/>
  <c r="AJ53" i="4"/>
  <c r="AI43" i="1"/>
  <c r="Q43" i="1" s="1"/>
  <c r="S43" i="1" s="1"/>
  <c r="Y45" i="1"/>
  <c r="N45" i="1" s="1"/>
  <c r="AH44" i="1"/>
  <c r="U44" i="1" s="1"/>
  <c r="AJ44" i="1"/>
  <c r="AI54" i="4" l="1"/>
  <c r="Q54" i="4" s="1"/>
  <c r="G58" i="4"/>
  <c r="H57" i="4"/>
  <c r="Y57" i="4" s="1"/>
  <c r="N57" i="4" s="1"/>
  <c r="I73" i="5"/>
  <c r="L73" i="5" s="1"/>
  <c r="I74" i="5" s="1"/>
  <c r="I72" i="4"/>
  <c r="L72" i="4" s="1"/>
  <c r="I73" i="4" s="1"/>
  <c r="H56" i="4"/>
  <c r="Y56" i="4" s="1"/>
  <c r="N56" i="4" s="1"/>
  <c r="AJ55" i="4"/>
  <c r="AH55" i="4"/>
  <c r="U55" i="4" s="1"/>
  <c r="AI53" i="4"/>
  <c r="Q53" i="4" s="1"/>
  <c r="AI44" i="1"/>
  <c r="Q44" i="1" s="1"/>
  <c r="S44" i="1" s="1"/>
  <c r="AI45" i="1"/>
  <c r="AH45" i="1"/>
  <c r="U45" i="1" s="1"/>
  <c r="AJ45" i="1"/>
  <c r="S45" i="1"/>
  <c r="H58" i="4" l="1"/>
  <c r="Y58" i="4" s="1"/>
  <c r="N58" i="4" s="1"/>
  <c r="AH58" i="4" s="1"/>
  <c r="U58" i="4" s="1"/>
  <c r="G59" i="4"/>
  <c r="AI55" i="4"/>
  <c r="Q55" i="4" s="1"/>
  <c r="AJ57" i="4"/>
  <c r="AH57" i="4"/>
  <c r="U57" i="4" s="1"/>
  <c r="AJ56" i="4"/>
  <c r="AH56" i="4"/>
  <c r="U56" i="4" s="1"/>
  <c r="H56" i="1"/>
  <c r="H57" i="1" s="1"/>
  <c r="Q45" i="1"/>
  <c r="J55" i="1"/>
  <c r="S55" i="1" s="1"/>
  <c r="AJ58" i="4" l="1"/>
  <c r="G60" i="4"/>
  <c r="H59" i="4"/>
  <c r="Y59" i="4" s="1"/>
  <c r="N59" i="4" s="1"/>
  <c r="AI58" i="4"/>
  <c r="AI57" i="4"/>
  <c r="Q57" i="4" s="1"/>
  <c r="AI56" i="4"/>
  <c r="Q56" i="4" s="1"/>
  <c r="J56" i="1"/>
  <c r="Q58" i="4" l="1"/>
  <c r="AJ59" i="4"/>
  <c r="AH59" i="4"/>
  <c r="U59" i="4" s="1"/>
  <c r="AI59" i="4"/>
  <c r="G61" i="4"/>
  <c r="H60" i="4"/>
  <c r="Y60" i="4" s="1"/>
  <c r="N60" i="4" s="1"/>
  <c r="I57" i="1"/>
  <c r="S56" i="1"/>
  <c r="K57" i="1"/>
  <c r="S57" i="1" s="1"/>
  <c r="S59" i="1" l="1"/>
  <c r="K63" i="1" s="1"/>
  <c r="M63" i="1" s="1"/>
  <c r="Q59" i="4"/>
  <c r="AJ60" i="4"/>
  <c r="AH60" i="4"/>
  <c r="U60" i="4" s="1"/>
  <c r="G62" i="4"/>
  <c r="H62" i="4" s="1"/>
  <c r="Y62" i="4" s="1"/>
  <c r="N62" i="4" s="1"/>
  <c r="H61" i="4"/>
  <c r="Y61" i="4" s="1"/>
  <c r="N61" i="4" s="1"/>
  <c r="S60" i="1"/>
  <c r="S61" i="1" s="1"/>
  <c r="L71" i="4" s="1"/>
  <c r="AJ61" i="4" l="1"/>
  <c r="AH61" i="4"/>
  <c r="U61" i="4" s="1"/>
  <c r="AH62" i="4"/>
  <c r="U62" i="4" s="1"/>
  <c r="AJ62" i="4"/>
  <c r="AI60" i="4"/>
  <c r="Q60" i="4" s="1"/>
  <c r="L72" i="5"/>
  <c r="O63" i="1"/>
  <c r="I64" i="1" s="1"/>
  <c r="M64" i="1" s="1"/>
  <c r="AI61" i="4" l="1"/>
  <c r="Q61" i="4" s="1"/>
  <c r="AI62" i="4"/>
  <c r="Q62" i="4" s="1"/>
  <c r="H64" i="4" s="1"/>
  <c r="J64" i="4" s="1"/>
  <c r="S64" i="4" s="1"/>
  <c r="S68" i="4" s="1"/>
  <c r="M65" i="1"/>
  <c r="S15" i="5" l="1"/>
  <c r="S69" i="5" s="1"/>
  <c r="K71" i="5" s="1"/>
  <c r="I70" i="4"/>
  <c r="K70" i="4"/>
  <c r="I71" i="5" l="1"/>
  <c r="L70" i="4"/>
  <c r="I71" i="4"/>
  <c r="L71" i="5"/>
  <c r="I72" i="5"/>
  <c r="M73" i="4" l="1"/>
  <c r="O71" i="4"/>
  <c r="P71" i="4"/>
  <c r="P72" i="5"/>
  <c r="O72" i="5"/>
  <c r="M74" i="5"/>
</calcChain>
</file>

<file path=xl/sharedStrings.xml><?xml version="1.0" encoding="utf-8"?>
<sst xmlns="http://schemas.openxmlformats.org/spreadsheetml/2006/main" count="1109" uniqueCount="412">
  <si>
    <t>区間</t>
    <rPh sb="0" eb="2">
      <t>クカン</t>
    </rPh>
    <phoneticPr fontId="1"/>
  </si>
  <si>
    <t>器具及び管種</t>
    <rPh sb="0" eb="2">
      <t>キグ</t>
    </rPh>
    <rPh sb="2" eb="3">
      <t>オヨ</t>
    </rPh>
    <rPh sb="4" eb="6">
      <t>カンシュ</t>
    </rPh>
    <phoneticPr fontId="1"/>
  </si>
  <si>
    <t>口径</t>
    <rPh sb="0" eb="2">
      <t>コウケイ</t>
    </rPh>
    <phoneticPr fontId="1"/>
  </si>
  <si>
    <t>栓数</t>
    <rPh sb="0" eb="1">
      <t>セン</t>
    </rPh>
    <rPh sb="1" eb="2">
      <t>スウ</t>
    </rPh>
    <phoneticPr fontId="1"/>
  </si>
  <si>
    <t>同時開栓数</t>
    <rPh sb="0" eb="2">
      <t>ドウジ</t>
    </rPh>
    <rPh sb="2" eb="4">
      <t>カイセン</t>
    </rPh>
    <rPh sb="4" eb="5">
      <t>スウ</t>
    </rPh>
    <phoneticPr fontId="1"/>
  </si>
  <si>
    <t>戸数</t>
    <rPh sb="0" eb="2">
      <t>コスウ</t>
    </rPh>
    <phoneticPr fontId="1"/>
  </si>
  <si>
    <t>人数</t>
    <rPh sb="0" eb="2">
      <t>ニンズウ</t>
    </rPh>
    <phoneticPr fontId="1"/>
  </si>
  <si>
    <t>使用水量</t>
    <rPh sb="0" eb="2">
      <t>シヨウ</t>
    </rPh>
    <rPh sb="2" eb="4">
      <t>スイリョウ</t>
    </rPh>
    <phoneticPr fontId="1"/>
  </si>
  <si>
    <t>追加水量</t>
    <rPh sb="0" eb="2">
      <t>ツイカ</t>
    </rPh>
    <rPh sb="2" eb="4">
      <t>スイリョウ</t>
    </rPh>
    <phoneticPr fontId="1"/>
  </si>
  <si>
    <t>流量</t>
    <rPh sb="0" eb="2">
      <t>リュウリョウ</t>
    </rPh>
    <phoneticPr fontId="1"/>
  </si>
  <si>
    <t>(栓)</t>
    <rPh sb="1" eb="2">
      <t>セン</t>
    </rPh>
    <phoneticPr fontId="1"/>
  </si>
  <si>
    <t>(戸)</t>
    <rPh sb="1" eb="2">
      <t>コ</t>
    </rPh>
    <phoneticPr fontId="1"/>
  </si>
  <si>
    <t>(人)</t>
    <rPh sb="1" eb="2">
      <t>ニン</t>
    </rPh>
    <phoneticPr fontId="1"/>
  </si>
  <si>
    <t>(L/s)</t>
    <phoneticPr fontId="1"/>
  </si>
  <si>
    <t>管延長</t>
    <rPh sb="0" eb="3">
      <t>カンエンチョウ</t>
    </rPh>
    <phoneticPr fontId="1"/>
  </si>
  <si>
    <t>動水勾配</t>
    <rPh sb="0" eb="4">
      <t>ドウスイコウバイ</t>
    </rPh>
    <phoneticPr fontId="1"/>
  </si>
  <si>
    <t>(ｍ)</t>
  </si>
  <si>
    <t>(ｍ)</t>
    <phoneticPr fontId="1"/>
  </si>
  <si>
    <t>(‰)</t>
    <phoneticPr fontId="1"/>
  </si>
  <si>
    <t>損失水頭</t>
    <rPh sb="0" eb="4">
      <t>ソンシツスイトウ</t>
    </rPh>
    <phoneticPr fontId="1"/>
  </si>
  <si>
    <t>A-B</t>
    <phoneticPr fontId="1"/>
  </si>
  <si>
    <t>B-C</t>
    <phoneticPr fontId="1"/>
  </si>
  <si>
    <t>C-D</t>
    <phoneticPr fontId="1"/>
  </si>
  <si>
    <t>D-E</t>
    <phoneticPr fontId="1"/>
  </si>
  <si>
    <t>E-F</t>
    <phoneticPr fontId="1"/>
  </si>
  <si>
    <t>F-G</t>
    <phoneticPr fontId="1"/>
  </si>
  <si>
    <t>H-I</t>
    <phoneticPr fontId="1"/>
  </si>
  <si>
    <t>I-J</t>
    <phoneticPr fontId="1"/>
  </si>
  <si>
    <t>G-H</t>
    <phoneticPr fontId="1"/>
  </si>
  <si>
    <t>J-K</t>
    <phoneticPr fontId="1"/>
  </si>
  <si>
    <t>K-L</t>
    <phoneticPr fontId="1"/>
  </si>
  <si>
    <t>L-M</t>
    <phoneticPr fontId="1"/>
  </si>
  <si>
    <t>M-N</t>
    <phoneticPr fontId="1"/>
  </si>
  <si>
    <t>N-O</t>
    <phoneticPr fontId="1"/>
  </si>
  <si>
    <t>O-P</t>
    <phoneticPr fontId="1"/>
  </si>
  <si>
    <t>P-Q</t>
    <phoneticPr fontId="1"/>
  </si>
  <si>
    <t>Q-R</t>
    <phoneticPr fontId="1"/>
  </si>
  <si>
    <t>R-S</t>
    <phoneticPr fontId="1"/>
  </si>
  <si>
    <t>S-T</t>
    <phoneticPr fontId="1"/>
  </si>
  <si>
    <t>T-U</t>
    <phoneticPr fontId="1"/>
  </si>
  <si>
    <t>U-V</t>
    <phoneticPr fontId="1"/>
  </si>
  <si>
    <t>V-W</t>
    <phoneticPr fontId="1"/>
  </si>
  <si>
    <t>W-X</t>
    <phoneticPr fontId="1"/>
  </si>
  <si>
    <t>X-Y</t>
    <phoneticPr fontId="1"/>
  </si>
  <si>
    <t>Y-Z</t>
    <phoneticPr fontId="1"/>
  </si>
  <si>
    <t>サドル分水栓</t>
    <rPh sb="3" eb="6">
      <t>ブンスイセン</t>
    </rPh>
    <phoneticPr fontId="1"/>
  </si>
  <si>
    <t>割T字</t>
    <rPh sb="0" eb="1">
      <t>ワリ</t>
    </rPh>
    <rPh sb="2" eb="3">
      <t>ジ</t>
    </rPh>
    <phoneticPr fontId="1"/>
  </si>
  <si>
    <t>異径接合</t>
    <rPh sb="0" eb="2">
      <t>イケイ</t>
    </rPh>
    <rPh sb="2" eb="4">
      <t>セツゴウ</t>
    </rPh>
    <phoneticPr fontId="1"/>
  </si>
  <si>
    <t>甲止水栓</t>
    <rPh sb="0" eb="1">
      <t>コウ</t>
    </rPh>
    <rPh sb="1" eb="3">
      <t>シスイ</t>
    </rPh>
    <rPh sb="3" eb="4">
      <t>セン</t>
    </rPh>
    <phoneticPr fontId="1"/>
  </si>
  <si>
    <t>屋内止水栓</t>
    <rPh sb="0" eb="2">
      <t>オクナイ</t>
    </rPh>
    <rPh sb="2" eb="5">
      <t>シスイセン</t>
    </rPh>
    <phoneticPr fontId="1"/>
  </si>
  <si>
    <t>ｽﾄﾚｰﾄ止水栓</t>
    <rPh sb="5" eb="8">
      <t>シスイセン</t>
    </rPh>
    <phoneticPr fontId="1"/>
  </si>
  <si>
    <t>ｱﾝｸﾞﾙ止水栓</t>
    <rPh sb="5" eb="8">
      <t>シスイセン</t>
    </rPh>
    <phoneticPr fontId="1"/>
  </si>
  <si>
    <t>水栓類</t>
    <rPh sb="0" eb="3">
      <t>スイセンルイ</t>
    </rPh>
    <phoneticPr fontId="1"/>
  </si>
  <si>
    <t>ボールタップ</t>
    <phoneticPr fontId="1"/>
  </si>
  <si>
    <t>ﾌﾗｯｼｭﾊﾞﾙﾌﾞ</t>
    <phoneticPr fontId="1"/>
  </si>
  <si>
    <t>定水位弁</t>
    <rPh sb="0" eb="4">
      <t>テイスイイベン</t>
    </rPh>
    <phoneticPr fontId="1"/>
  </si>
  <si>
    <t>ボール止水栓</t>
    <rPh sb="3" eb="5">
      <t>シスイ</t>
    </rPh>
    <rPh sb="5" eb="6">
      <t>セン</t>
    </rPh>
    <phoneticPr fontId="1"/>
  </si>
  <si>
    <t>メーター</t>
    <phoneticPr fontId="1"/>
  </si>
  <si>
    <t>逆止ﾒｰﾀｰﾊﾟｯｷﾝ</t>
    <rPh sb="0" eb="2">
      <t>ギャクシ</t>
    </rPh>
    <phoneticPr fontId="1"/>
  </si>
  <si>
    <t>ﾒｰﾀｰﾕﾆｯﾄ</t>
    <phoneticPr fontId="1"/>
  </si>
  <si>
    <t>＜器具＞</t>
    <rPh sb="1" eb="3">
      <t>キグ</t>
    </rPh>
    <phoneticPr fontId="1"/>
  </si>
  <si>
    <t>＜管種＞</t>
    <rPh sb="1" eb="3">
      <t>カンシュ</t>
    </rPh>
    <phoneticPr fontId="1"/>
  </si>
  <si>
    <t>Pe</t>
    <phoneticPr fontId="1"/>
  </si>
  <si>
    <t>PeH</t>
    <phoneticPr fontId="1"/>
  </si>
  <si>
    <t>HPPE</t>
    <phoneticPr fontId="1"/>
  </si>
  <si>
    <t>SUS</t>
    <phoneticPr fontId="1"/>
  </si>
  <si>
    <t>PBP</t>
    <phoneticPr fontId="1"/>
  </si>
  <si>
    <t>COP</t>
    <phoneticPr fontId="1"/>
  </si>
  <si>
    <t>鋳鉄管</t>
    <rPh sb="0" eb="2">
      <t>チュウテツ</t>
    </rPh>
    <rPh sb="2" eb="3">
      <t>カン</t>
    </rPh>
    <phoneticPr fontId="1"/>
  </si>
  <si>
    <t>VP</t>
    <phoneticPr fontId="1"/>
  </si>
  <si>
    <t>VSP</t>
    <phoneticPr fontId="1"/>
  </si>
  <si>
    <t>HIVP</t>
    <phoneticPr fontId="1"/>
  </si>
  <si>
    <t>XPe</t>
    <phoneticPr fontId="1"/>
  </si>
  <si>
    <t>フレキ300L</t>
    <phoneticPr fontId="1"/>
  </si>
  <si>
    <t>フレキ500L</t>
    <phoneticPr fontId="1"/>
  </si>
  <si>
    <t>-</t>
  </si>
  <si>
    <t>-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</si>
  <si>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</si>
  <si>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</si>
  <si>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</si>
  <si>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</si>
  <si>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a</t>
    <phoneticPr fontId="1"/>
  </si>
  <si>
    <t>aA+B+C+D</t>
    <phoneticPr fontId="1"/>
  </si>
  <si>
    <t>同時開栓数補助1</t>
    <rPh sb="0" eb="2">
      <t>ドウジ</t>
    </rPh>
    <rPh sb="2" eb="4">
      <t>カイセン</t>
    </rPh>
    <rPh sb="4" eb="5">
      <t>スウ</t>
    </rPh>
    <rPh sb="5" eb="7">
      <t>ホジョ</t>
    </rPh>
    <phoneticPr fontId="1"/>
  </si>
  <si>
    <t>同時開栓数補助2</t>
    <rPh sb="0" eb="2">
      <t>ドウジ</t>
    </rPh>
    <rPh sb="2" eb="4">
      <t>カイセン</t>
    </rPh>
    <rPh sb="4" eb="5">
      <t>スウ</t>
    </rPh>
    <rPh sb="5" eb="7">
      <t>ホジョ</t>
    </rPh>
    <phoneticPr fontId="1"/>
  </si>
  <si>
    <t>同時開栓数補助3</t>
    <rPh sb="0" eb="2">
      <t>ドウジ</t>
    </rPh>
    <rPh sb="2" eb="4">
      <t>カイセン</t>
    </rPh>
    <rPh sb="4" eb="5">
      <t>スウ</t>
    </rPh>
    <rPh sb="5" eb="7">
      <t>ホジョ</t>
    </rPh>
    <phoneticPr fontId="1"/>
  </si>
  <si>
    <t>水抜栓</t>
    <phoneticPr fontId="1"/>
  </si>
  <si>
    <t>仕切弁</t>
    <rPh sb="0" eb="3">
      <t>シキリベン</t>
    </rPh>
    <phoneticPr fontId="1"/>
  </si>
  <si>
    <t>分岐水栓</t>
    <rPh sb="0" eb="2">
      <t>ブンキ</t>
    </rPh>
    <rPh sb="2" eb="4">
      <t>スイセン</t>
    </rPh>
    <phoneticPr fontId="1"/>
  </si>
  <si>
    <t>ヘッダー</t>
    <phoneticPr fontId="1"/>
  </si>
  <si>
    <t>001</t>
    <phoneticPr fontId="1"/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</si>
  <si>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</si>
  <si>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</si>
  <si>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</si>
  <si>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</si>
  <si>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</si>
  <si>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</si>
  <si>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</si>
  <si>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</si>
  <si>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</si>
  <si>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</si>
  <si>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</si>
  <si>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</si>
  <si>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</si>
  <si>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</si>
  <si>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</si>
  <si>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</si>
  <si>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</si>
  <si>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</si>
  <si>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</si>
  <si>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</si>
  <si>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</si>
  <si>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</si>
  <si>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</si>
  <si>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</si>
  <si>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</si>
  <si>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</si>
  <si>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</si>
  <si>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</si>
  <si>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</si>
  <si>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</si>
  <si>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</si>
  <si>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</si>
  <si>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</si>
  <si>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</si>
  <si>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</si>
  <si>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</si>
  <si>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</si>
  <si>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</si>
  <si>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</si>
  <si>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コード1</t>
    <phoneticPr fontId="1"/>
  </si>
  <si>
    <t>コード2</t>
  </si>
  <si>
    <t>直観換算延長</t>
    <rPh sb="0" eb="6">
      <t>チョッカンカンザンエンチョウ</t>
    </rPh>
    <phoneticPr fontId="1"/>
  </si>
  <si>
    <t>器具名</t>
    <rPh sb="0" eb="3">
      <t>キグメイ</t>
    </rPh>
    <phoneticPr fontId="1"/>
  </si>
  <si>
    <t>止水栓</t>
    <rPh sb="0" eb="3">
      <t>シスイセン</t>
    </rPh>
    <phoneticPr fontId="1"/>
  </si>
  <si>
    <t>ボールタップ</t>
  </si>
  <si>
    <t>メーカー損失水頭値(追加枠)</t>
    <rPh sb="4" eb="6">
      <t>ソンシツ</t>
    </rPh>
    <rPh sb="6" eb="8">
      <t>スイトウ</t>
    </rPh>
    <rPh sb="8" eb="9">
      <t>アタイ</t>
    </rPh>
    <rPh sb="10" eb="12">
      <t>ツイカ</t>
    </rPh>
    <rPh sb="12" eb="13">
      <t>ワク</t>
    </rPh>
    <phoneticPr fontId="8"/>
  </si>
  <si>
    <t>※コード表１の「区間及び器具コード表」にも追記する事（51から使用の事）</t>
    <rPh sb="4" eb="5">
      <t>ヒョウ</t>
    </rPh>
    <rPh sb="8" eb="10">
      <t>クカン</t>
    </rPh>
    <rPh sb="10" eb="11">
      <t>オヨ</t>
    </rPh>
    <rPh sb="12" eb="14">
      <t>キグ</t>
    </rPh>
    <rPh sb="17" eb="18">
      <t>ヒョウ</t>
    </rPh>
    <rPh sb="21" eb="23">
      <t>ツイキ</t>
    </rPh>
    <rPh sb="25" eb="26">
      <t>コト</t>
    </rPh>
    <rPh sb="31" eb="33">
      <t>シヨウ</t>
    </rPh>
    <rPh sb="34" eb="35">
      <t>コト</t>
    </rPh>
    <phoneticPr fontId="8"/>
  </si>
  <si>
    <t>ｻﾄﾞﾙ分水栓</t>
    <phoneticPr fontId="8"/>
  </si>
  <si>
    <t>メーター</t>
    <phoneticPr fontId="8"/>
  </si>
  <si>
    <t>逆止弁付メーターパッキン</t>
    <phoneticPr fontId="8"/>
  </si>
  <si>
    <t>メーターユニット</t>
    <phoneticPr fontId="8"/>
  </si>
  <si>
    <t>屋内止水栓</t>
    <rPh sb="0" eb="2">
      <t>オクナイ</t>
    </rPh>
    <rPh sb="2" eb="5">
      <t>シスイセン</t>
    </rPh>
    <phoneticPr fontId="8"/>
  </si>
  <si>
    <t>ストレート止水</t>
    <rPh sb="5" eb="7">
      <t>シスイ</t>
    </rPh>
    <phoneticPr fontId="8"/>
  </si>
  <si>
    <t>アングル止水</t>
    <rPh sb="4" eb="6">
      <t>シスイ</t>
    </rPh>
    <phoneticPr fontId="8"/>
  </si>
  <si>
    <t>ボールバルブ逆止弁内蔵</t>
    <rPh sb="6" eb="9">
      <t>ギャクシベン</t>
    </rPh>
    <rPh sb="9" eb="11">
      <t>ナイゾウ</t>
    </rPh>
    <phoneticPr fontId="8"/>
  </si>
  <si>
    <t>水栓類</t>
    <rPh sb="0" eb="2">
      <t>スイセン</t>
    </rPh>
    <rPh sb="2" eb="3">
      <t>ルイ</t>
    </rPh>
    <phoneticPr fontId="8"/>
  </si>
  <si>
    <t>ボールタップ</t>
    <phoneticPr fontId="8"/>
  </si>
  <si>
    <t>フレキシブル継手300L</t>
    <phoneticPr fontId="8"/>
  </si>
  <si>
    <t>フレキシブル継手500L</t>
    <phoneticPr fontId="8"/>
  </si>
  <si>
    <t>フラッシュバルブ小</t>
    <rPh sb="8" eb="9">
      <t>ショウ</t>
    </rPh>
    <phoneticPr fontId="8"/>
  </si>
  <si>
    <t>フラッシュバルブ大</t>
    <rPh sb="8" eb="9">
      <t>ダイ</t>
    </rPh>
    <phoneticPr fontId="8"/>
  </si>
  <si>
    <t>単式逆止弁</t>
    <rPh sb="0" eb="2">
      <t>タンシキ</t>
    </rPh>
    <rPh sb="2" eb="5">
      <t>ギャクシベン</t>
    </rPh>
    <phoneticPr fontId="8"/>
  </si>
  <si>
    <t>減圧逆止弁</t>
    <rPh sb="0" eb="2">
      <t>ゲンアツ</t>
    </rPh>
    <rPh sb="2" eb="5">
      <t>ギャクシベン</t>
    </rPh>
    <phoneticPr fontId="8"/>
  </si>
  <si>
    <t>水抜栓</t>
    <rPh sb="0" eb="2">
      <t>ミズヌ</t>
    </rPh>
    <rPh sb="2" eb="3">
      <t>セン</t>
    </rPh>
    <phoneticPr fontId="8"/>
  </si>
  <si>
    <t>Dバルブ</t>
    <phoneticPr fontId="8"/>
  </si>
  <si>
    <t>Dバルブ</t>
  </si>
  <si>
    <t>Dバルブ逆止付</t>
    <rPh sb="4" eb="6">
      <t>ギャクシ</t>
    </rPh>
    <rPh sb="6" eb="7">
      <t>ツ</t>
    </rPh>
    <phoneticPr fontId="8"/>
  </si>
  <si>
    <t>定水位弁</t>
    <rPh sb="0" eb="4">
      <t>テイスイイベン</t>
    </rPh>
    <phoneticPr fontId="8"/>
  </si>
  <si>
    <t>ボールバルブ（オンダ）</t>
    <phoneticPr fontId="8"/>
  </si>
  <si>
    <t>入力コード</t>
    <rPh sb="0" eb="2">
      <t>ニュウリョク</t>
    </rPh>
    <phoneticPr fontId="8"/>
  </si>
  <si>
    <t>名前定義</t>
    <rPh sb="0" eb="2">
      <t>ナマエ</t>
    </rPh>
    <rPh sb="2" eb="4">
      <t>テイギ</t>
    </rPh>
    <phoneticPr fontId="8"/>
  </si>
  <si>
    <t>口　径</t>
    <rPh sb="0" eb="1">
      <t>クチ</t>
    </rPh>
    <rPh sb="2" eb="3">
      <t>ケイ</t>
    </rPh>
    <phoneticPr fontId="8"/>
  </si>
  <si>
    <t>合成コード</t>
    <rPh sb="0" eb="2">
      <t>ゴウセイ</t>
    </rPh>
    <phoneticPr fontId="8"/>
  </si>
  <si>
    <t>実内径から流速・動水勾配計算</t>
    <rPh sb="0" eb="1">
      <t>ジツ</t>
    </rPh>
    <rPh sb="1" eb="3">
      <t>ナイケイ</t>
    </rPh>
    <rPh sb="5" eb="7">
      <t>リュウソク</t>
    </rPh>
    <rPh sb="8" eb="10">
      <t>ドウスイ</t>
    </rPh>
    <rPh sb="10" eb="12">
      <t>コウバイ</t>
    </rPh>
    <rPh sb="12" eb="14">
      <t>ケイサン</t>
    </rPh>
    <phoneticPr fontId="8"/>
  </si>
  <si>
    <t>実内径</t>
    <rPh sb="0" eb="1">
      <t>ジツ</t>
    </rPh>
    <rPh sb="1" eb="3">
      <t>ナイケイ</t>
    </rPh>
    <phoneticPr fontId="8"/>
  </si>
  <si>
    <t>流速</t>
    <rPh sb="0" eb="2">
      <t>リュウソク</t>
    </rPh>
    <phoneticPr fontId="8"/>
  </si>
  <si>
    <t>動水勾配</t>
    <rPh sb="0" eb="1">
      <t>ドウ</t>
    </rPh>
    <rPh sb="1" eb="2">
      <t>スイ</t>
    </rPh>
    <rPh sb="2" eb="4">
      <t>コウバイ</t>
    </rPh>
    <phoneticPr fontId="8"/>
  </si>
  <si>
    <t>損失</t>
    <rPh sb="0" eb="2">
      <t>ソンシツ</t>
    </rPh>
    <phoneticPr fontId="8"/>
  </si>
  <si>
    <t>(mm)</t>
    <phoneticPr fontId="8"/>
  </si>
  <si>
    <t>(m/s)</t>
    <phoneticPr fontId="8"/>
  </si>
  <si>
    <t>（‰）</t>
  </si>
  <si>
    <t>水頭</t>
    <rPh sb="0" eb="2">
      <t>スイトウ</t>
    </rPh>
    <phoneticPr fontId="8"/>
  </si>
  <si>
    <t>断面積ｍ2</t>
    <rPh sb="0" eb="1">
      <t>ダン</t>
    </rPh>
    <rPh sb="1" eb="2">
      <t>メン</t>
    </rPh>
    <rPh sb="2" eb="3">
      <t>セキ</t>
    </rPh>
    <phoneticPr fontId="8"/>
  </si>
  <si>
    <t>管種</t>
    <rPh sb="0" eb="1">
      <t>カン</t>
    </rPh>
    <rPh sb="1" eb="2">
      <t>タネ</t>
    </rPh>
    <phoneticPr fontId="8"/>
  </si>
  <si>
    <t>COP</t>
    <phoneticPr fontId="8"/>
  </si>
  <si>
    <t>PBP</t>
    <phoneticPr fontId="8"/>
  </si>
  <si>
    <t>Pe</t>
    <phoneticPr fontId="8"/>
  </si>
  <si>
    <t>PeH</t>
    <phoneticPr fontId="8"/>
  </si>
  <si>
    <t>SUS</t>
    <phoneticPr fontId="8"/>
  </si>
  <si>
    <t>VSP</t>
    <phoneticPr fontId="8"/>
  </si>
  <si>
    <t>Xpe</t>
    <phoneticPr fontId="1"/>
  </si>
  <si>
    <t>鋳鉄管</t>
    <rPh sb="0" eb="2">
      <t>チュウテツ</t>
    </rPh>
    <rPh sb="2" eb="3">
      <t>カン</t>
    </rPh>
    <phoneticPr fontId="8"/>
  </si>
  <si>
    <t>000013</t>
    <phoneticPr fontId="1"/>
  </si>
  <si>
    <t>000016</t>
    <phoneticPr fontId="1"/>
  </si>
  <si>
    <t>000020</t>
    <phoneticPr fontId="1"/>
  </si>
  <si>
    <t>000025</t>
    <phoneticPr fontId="1"/>
  </si>
  <si>
    <t>000030</t>
    <phoneticPr fontId="1"/>
  </si>
  <si>
    <t>000040</t>
    <phoneticPr fontId="1"/>
  </si>
  <si>
    <t>000050</t>
    <phoneticPr fontId="1"/>
  </si>
  <si>
    <t>000065</t>
    <phoneticPr fontId="1"/>
  </si>
  <si>
    <t>000075</t>
    <phoneticPr fontId="1"/>
  </si>
  <si>
    <t>000080</t>
    <phoneticPr fontId="1"/>
  </si>
  <si>
    <t>000100</t>
    <phoneticPr fontId="1"/>
  </si>
  <si>
    <t>000</t>
    <phoneticPr fontId="1"/>
  </si>
  <si>
    <t>合成コード1</t>
    <rPh sb="0" eb="2">
      <t>ゴウセイ</t>
    </rPh>
    <phoneticPr fontId="1"/>
  </si>
  <si>
    <t>合成コード2</t>
    <rPh sb="0" eb="2">
      <t>ゴウセイ</t>
    </rPh>
    <phoneticPr fontId="1"/>
  </si>
  <si>
    <t>034</t>
    <phoneticPr fontId="1"/>
  </si>
  <si>
    <t>036</t>
    <phoneticPr fontId="1"/>
  </si>
  <si>
    <t>038</t>
    <phoneticPr fontId="1"/>
  </si>
  <si>
    <t>040</t>
    <phoneticPr fontId="1"/>
  </si>
  <si>
    <t>コード表より</t>
    <rPh sb="3" eb="4">
      <t>ヒョウ</t>
    </rPh>
    <phoneticPr fontId="1"/>
  </si>
  <si>
    <t>ﾎﾞｰﾙﾊﾞﾙﾌﾞ逆止有</t>
    <rPh sb="9" eb="12">
      <t>ギャクシア</t>
    </rPh>
    <phoneticPr fontId="1"/>
  </si>
  <si>
    <t>逆止弁単式</t>
    <rPh sb="0" eb="3">
      <t>ギャクシベン</t>
    </rPh>
    <rPh sb="3" eb="5">
      <t>タンシキ</t>
    </rPh>
    <phoneticPr fontId="1"/>
  </si>
  <si>
    <t>逆止弁減圧</t>
    <rPh sb="0" eb="3">
      <t>ギャクシベン</t>
    </rPh>
    <rPh sb="3" eb="5">
      <t>ゲンアツ</t>
    </rPh>
    <phoneticPr fontId="1"/>
  </si>
  <si>
    <t>逆止弁ｽｲﾝｸﾞ式</t>
    <rPh sb="0" eb="3">
      <t>ギャクシベン</t>
    </rPh>
    <rPh sb="8" eb="9">
      <t>シキ</t>
    </rPh>
    <phoneticPr fontId="1"/>
  </si>
  <si>
    <t>ﾄﾞﾚﾝﾊﾞﾙﾌﾞ逆止無</t>
    <rPh sb="9" eb="11">
      <t>ギャクシ</t>
    </rPh>
    <phoneticPr fontId="1"/>
  </si>
  <si>
    <t>ﾄﾞﾚﾝﾊﾞﾙﾌﾞ逆止有</t>
    <rPh sb="9" eb="11">
      <t>ギャクシ</t>
    </rPh>
    <rPh sb="11" eb="12">
      <t>アリ</t>
    </rPh>
    <phoneticPr fontId="1"/>
  </si>
  <si>
    <t>メーカー値,作動圧
及びその他損失水頭</t>
    <rPh sb="4" eb="5">
      <t>チ</t>
    </rPh>
    <rPh sb="6" eb="9">
      <t>サドウアツ</t>
    </rPh>
    <rPh sb="10" eb="11">
      <t>オヨ</t>
    </rPh>
    <phoneticPr fontId="1"/>
  </si>
  <si>
    <t>031</t>
    <phoneticPr fontId="1"/>
  </si>
  <si>
    <t>000150</t>
    <phoneticPr fontId="1"/>
  </si>
  <si>
    <t>000200</t>
    <phoneticPr fontId="1"/>
  </si>
  <si>
    <t>直管換算延長</t>
    <rPh sb="0" eb="1">
      <t>チョク</t>
    </rPh>
    <rPh sb="1" eb="2">
      <t>カン</t>
    </rPh>
    <rPh sb="2" eb="4">
      <t>カンザン</t>
    </rPh>
    <rPh sb="4" eb="6">
      <t>エンチョウ</t>
    </rPh>
    <phoneticPr fontId="1"/>
  </si>
  <si>
    <t>ヘッダー</t>
  </si>
  <si>
    <t>水　理　計　算　書</t>
    <rPh sb="0" eb="1">
      <t>スイ</t>
    </rPh>
    <rPh sb="2" eb="3">
      <t>リ</t>
    </rPh>
    <rPh sb="4" eb="5">
      <t>ケイ</t>
    </rPh>
    <rPh sb="6" eb="7">
      <t>サン</t>
    </rPh>
    <rPh sb="8" eb="9">
      <t>ショ</t>
    </rPh>
    <phoneticPr fontId="1"/>
  </si>
  <si>
    <t>（あて先）　札幌市水道事業管理者　　　水道局長</t>
    <rPh sb="3" eb="4">
      <t>サキ</t>
    </rPh>
    <rPh sb="6" eb="9">
      <t>サッポロシ</t>
    </rPh>
    <rPh sb="9" eb="13">
      <t>スイドウジギョウ</t>
    </rPh>
    <rPh sb="13" eb="16">
      <t>カンリシャ</t>
    </rPh>
    <rPh sb="19" eb="23">
      <t>スイドウキョクチョウ</t>
    </rPh>
    <phoneticPr fontId="1"/>
  </si>
  <si>
    <t>申込者</t>
    <rPh sb="0" eb="3">
      <t>モウシコミシャ</t>
    </rPh>
    <phoneticPr fontId="1"/>
  </si>
  <si>
    <t>装置場所</t>
    <rPh sb="0" eb="4">
      <t>ソウチバショ</t>
    </rPh>
    <phoneticPr fontId="1"/>
  </si>
  <si>
    <t>施工業者</t>
    <rPh sb="0" eb="4">
      <t>セコウギョウシャ</t>
    </rPh>
    <phoneticPr fontId="1"/>
  </si>
  <si>
    <t>給水栓番号</t>
    <rPh sb="0" eb="5">
      <t>キュウスイセンバンゴウ</t>
    </rPh>
    <phoneticPr fontId="1"/>
  </si>
  <si>
    <t>備考</t>
    <rPh sb="0" eb="2">
      <t>ビコウ</t>
    </rPh>
    <phoneticPr fontId="1"/>
  </si>
  <si>
    <t>審査・検査</t>
    <rPh sb="0" eb="2">
      <t>シンサ</t>
    </rPh>
    <rPh sb="3" eb="5">
      <t>ケンサ</t>
    </rPh>
    <phoneticPr fontId="1"/>
  </si>
  <si>
    <t>残存水頭</t>
    <rPh sb="0" eb="2">
      <t>ザンゾン</t>
    </rPh>
    <rPh sb="2" eb="4">
      <t>スイトウ</t>
    </rPh>
    <phoneticPr fontId="1"/>
  </si>
  <si>
    <t>（</t>
    <phoneticPr fontId="1"/>
  </si>
  <si>
    <t>ｍ-損失水頭計）</t>
    <rPh sb="2" eb="6">
      <t>ソンシツスイトウ</t>
    </rPh>
    <rPh sb="6" eb="7">
      <t>ケイ</t>
    </rPh>
    <phoneticPr fontId="1"/>
  </si>
  <si>
    <t>計</t>
    <rPh sb="0" eb="1">
      <t>ケイ</t>
    </rPh>
    <phoneticPr fontId="1"/>
  </si>
  <si>
    <t>立ち上がり</t>
    <rPh sb="0" eb="1">
      <t>タ</t>
    </rPh>
    <rPh sb="2" eb="3">
      <t>ア</t>
    </rPh>
    <phoneticPr fontId="1"/>
  </si>
  <si>
    <t>継手損失</t>
    <rPh sb="0" eb="4">
      <t>ツギテソンシツ</t>
    </rPh>
    <phoneticPr fontId="1"/>
  </si>
  <si>
    <t>SUS・COP</t>
    <phoneticPr fontId="1"/>
  </si>
  <si>
    <t>002050</t>
  </si>
  <si>
    <t>003013</t>
  </si>
  <si>
    <t>003016</t>
  </si>
  <si>
    <t>003020</t>
  </si>
  <si>
    <t>003025</t>
  </si>
  <si>
    <t>003030</t>
  </si>
  <si>
    <t>003040</t>
  </si>
  <si>
    <t>003050</t>
  </si>
  <si>
    <t>006013</t>
  </si>
  <si>
    <t>006016</t>
  </si>
  <si>
    <t>006020</t>
  </si>
  <si>
    <t>006025</t>
  </si>
  <si>
    <t>006030</t>
  </si>
  <si>
    <t>006040</t>
  </si>
  <si>
    <t>006050</t>
  </si>
  <si>
    <t>023016</t>
  </si>
  <si>
    <t>023020</t>
  </si>
  <si>
    <t>023025</t>
  </si>
  <si>
    <t>023030</t>
  </si>
  <si>
    <t>023040</t>
  </si>
  <si>
    <t>023050</t>
  </si>
  <si>
    <t>023075</t>
  </si>
  <si>
    <t>023100</t>
  </si>
  <si>
    <t>023150</t>
  </si>
  <si>
    <t>007013</t>
  </si>
  <si>
    <t>007020</t>
  </si>
  <si>
    <t>007025</t>
  </si>
  <si>
    <t>007030</t>
  </si>
  <si>
    <t>007040</t>
  </si>
  <si>
    <t>007050</t>
  </si>
  <si>
    <t>007075</t>
  </si>
  <si>
    <t>007100</t>
  </si>
  <si>
    <t>016030</t>
  </si>
  <si>
    <t>016040</t>
  </si>
  <si>
    <t>016050</t>
  </si>
  <si>
    <t>016075</t>
  </si>
  <si>
    <t>016100</t>
  </si>
  <si>
    <t>016150</t>
  </si>
  <si>
    <t>027013</t>
  </si>
  <si>
    <t>027020</t>
  </si>
  <si>
    <t>027025</t>
  </si>
  <si>
    <t>027030</t>
  </si>
  <si>
    <t>027040</t>
  </si>
  <si>
    <t>027050</t>
  </si>
  <si>
    <t>027075</t>
  </si>
  <si>
    <t>027100</t>
  </si>
  <si>
    <t>027150</t>
  </si>
  <si>
    <t>015025</t>
  </si>
  <si>
    <t>017013</t>
  </si>
  <si>
    <t>017020</t>
  </si>
  <si>
    <t>017025</t>
  </si>
  <si>
    <t>028013</t>
  </si>
  <si>
    <t>028016</t>
  </si>
  <si>
    <t>028020</t>
  </si>
  <si>
    <t>040200</t>
  </si>
  <si>
    <t>040150</t>
  </si>
  <si>
    <t>040100</t>
  </si>
  <si>
    <t>040075</t>
  </si>
  <si>
    <t>038013</t>
  </si>
  <si>
    <t>038016</t>
  </si>
  <si>
    <t>038020</t>
  </si>
  <si>
    <t>038025</t>
  </si>
  <si>
    <t>034100</t>
  </si>
  <si>
    <t>034013</t>
  </si>
  <si>
    <t>034016</t>
  </si>
  <si>
    <t>034020</t>
  </si>
  <si>
    <t>034025</t>
  </si>
  <si>
    <t>034030</t>
  </si>
  <si>
    <t>034040</t>
  </si>
  <si>
    <t>034050</t>
  </si>
  <si>
    <t>034065</t>
  </si>
  <si>
    <t>034075</t>
  </si>
  <si>
    <t>030013</t>
  </si>
  <si>
    <t>030020</t>
  </si>
  <si>
    <t>030025</t>
  </si>
  <si>
    <t>030030</t>
  </si>
  <si>
    <t>030040</t>
  </si>
  <si>
    <t>030050</t>
  </si>
  <si>
    <t>031050</t>
  </si>
  <si>
    <t>031075</t>
  </si>
  <si>
    <t>031100</t>
  </si>
  <si>
    <t>031150</t>
  </si>
  <si>
    <t>031200</t>
  </si>
  <si>
    <t>033100</t>
  </si>
  <si>
    <t>033020</t>
  </si>
  <si>
    <t>033025</t>
  </si>
  <si>
    <t>033030</t>
  </si>
  <si>
    <t>033040</t>
  </si>
  <si>
    <t>033050</t>
  </si>
  <si>
    <t>033065</t>
  </si>
  <si>
    <t>033080</t>
  </si>
  <si>
    <t>035100</t>
  </si>
  <si>
    <t>035015</t>
  </si>
  <si>
    <t>035020</t>
  </si>
  <si>
    <t>035025</t>
  </si>
  <si>
    <t>035030</t>
  </si>
  <si>
    <t>035040</t>
  </si>
  <si>
    <t>035050</t>
  </si>
  <si>
    <t>035065</t>
  </si>
  <si>
    <t>035080</t>
  </si>
  <si>
    <t>036013</t>
  </si>
  <si>
    <t>036016</t>
  </si>
  <si>
    <t>036020</t>
  </si>
  <si>
    <r>
      <t>×1.0</t>
    </r>
    <r>
      <rPr>
        <sz val="16"/>
        <color theme="1"/>
        <rFont val="游ゴシック"/>
        <family val="2"/>
        <charset val="128"/>
      </rPr>
      <t>＝</t>
    </r>
    <phoneticPr fontId="1"/>
  </si>
  <si>
    <r>
      <t>×0.2</t>
    </r>
    <r>
      <rPr>
        <sz val="16"/>
        <color theme="1"/>
        <rFont val="游ゴシック"/>
        <family val="2"/>
        <charset val="128"/>
      </rPr>
      <t>＝</t>
    </r>
    <phoneticPr fontId="1"/>
  </si>
  <si>
    <r>
      <t>×2.0</t>
    </r>
    <r>
      <rPr>
        <sz val="16"/>
        <color theme="1"/>
        <rFont val="游ゴシック"/>
        <family val="2"/>
        <charset val="128"/>
      </rPr>
      <t>＝</t>
    </r>
    <phoneticPr fontId="1"/>
  </si>
  <si>
    <t>直管補正</t>
    <rPh sb="0" eb="1">
      <t>チョク</t>
    </rPh>
    <rPh sb="1" eb="2">
      <t>カン</t>
    </rPh>
    <rPh sb="2" eb="4">
      <t>ホセイ</t>
    </rPh>
    <phoneticPr fontId="1"/>
  </si>
  <si>
    <t>035150</t>
    <phoneticPr fontId="1"/>
  </si>
  <si>
    <t>口径コード1</t>
    <rPh sb="0" eb="2">
      <t>コウケイ</t>
    </rPh>
    <phoneticPr fontId="1"/>
  </si>
  <si>
    <t>口径コード2</t>
    <rPh sb="0" eb="2">
      <t>コウケイ</t>
    </rPh>
    <phoneticPr fontId="1"/>
  </si>
  <si>
    <t>合成コード3</t>
    <rPh sb="0" eb="2">
      <t>ゴウセイ</t>
    </rPh>
    <phoneticPr fontId="1"/>
  </si>
  <si>
    <t>（φ）</t>
    <phoneticPr fontId="1"/>
  </si>
  <si>
    <t>ボール止水</t>
    <rPh sb="3" eb="5">
      <t>シスイ</t>
    </rPh>
    <phoneticPr fontId="8"/>
  </si>
  <si>
    <t>甲止水</t>
    <rPh sb="0" eb="3">
      <t>コウシスイ</t>
    </rPh>
    <phoneticPr fontId="8"/>
  </si>
  <si>
    <t>005013</t>
    <phoneticPr fontId="1"/>
  </si>
  <si>
    <t>005016</t>
    <phoneticPr fontId="1"/>
  </si>
  <si>
    <t>005030</t>
    <phoneticPr fontId="1"/>
  </si>
  <si>
    <t>005040</t>
    <phoneticPr fontId="1"/>
  </si>
  <si>
    <t>005050</t>
    <phoneticPr fontId="1"/>
  </si>
  <si>
    <t>分岐箇所</t>
    <rPh sb="0" eb="2">
      <t>ブンキ</t>
    </rPh>
    <rPh sb="2" eb="4">
      <t>カショ</t>
    </rPh>
    <phoneticPr fontId="1"/>
  </si>
  <si>
    <t>041</t>
    <phoneticPr fontId="1"/>
  </si>
  <si>
    <t>033</t>
    <phoneticPr fontId="1"/>
  </si>
  <si>
    <t>流速判定</t>
    <rPh sb="0" eb="2">
      <t>リュウソク</t>
    </rPh>
    <rPh sb="2" eb="4">
      <t>ハンテイ</t>
    </rPh>
    <phoneticPr fontId="1"/>
  </si>
  <si>
    <t>減圧式逆流防止器直前の流入圧</t>
    <rPh sb="0" eb="2">
      <t>ゲンアツ</t>
    </rPh>
    <rPh sb="2" eb="3">
      <t>シキ</t>
    </rPh>
    <rPh sb="3" eb="5">
      <t>ギャクリュウ</t>
    </rPh>
    <rPh sb="5" eb="7">
      <t>ボウシ</t>
    </rPh>
    <rPh sb="7" eb="8">
      <t>キ</t>
    </rPh>
    <rPh sb="8" eb="10">
      <t>チョクゼン</t>
    </rPh>
    <rPh sb="11" eb="14">
      <t>リュウニュウアツ</t>
    </rPh>
    <phoneticPr fontId="1"/>
  </si>
  <si>
    <t>ポンプ自動停止設定圧</t>
    <rPh sb="3" eb="7">
      <t>ジドウテイシ</t>
    </rPh>
    <rPh sb="7" eb="10">
      <t>セッテイアツ</t>
    </rPh>
    <phoneticPr fontId="1"/>
  </si>
  <si>
    <t>ポンプ自動復旧設定圧</t>
    <rPh sb="3" eb="5">
      <t>ジドウ</t>
    </rPh>
    <rPh sb="5" eb="7">
      <t>フッキュウ</t>
    </rPh>
    <rPh sb="7" eb="10">
      <t>セッテイアツ</t>
    </rPh>
    <phoneticPr fontId="1"/>
  </si>
  <si>
    <t>直結加圧装置</t>
    <rPh sb="0" eb="6">
      <t>チョッケツカアツソウチ</t>
    </rPh>
    <phoneticPr fontId="1"/>
  </si>
  <si>
    <t>小計</t>
    <rPh sb="0" eb="2">
      <t>ショウケイ</t>
    </rPh>
    <phoneticPr fontId="1"/>
  </si>
  <si>
    <t>減圧式逆流防止器直前の損失水頭</t>
    <rPh sb="0" eb="2">
      <t>ゲンアツ</t>
    </rPh>
    <rPh sb="2" eb="10">
      <t>シキギャクリュウボウシキチョクゼン</t>
    </rPh>
    <rPh sb="11" eb="15">
      <t>ソンシツスイトウ</t>
    </rPh>
    <phoneticPr fontId="1"/>
  </si>
  <si>
    <t>直結加圧装置までの損失水頭</t>
    <rPh sb="0" eb="2">
      <t>チョッケツ</t>
    </rPh>
    <rPh sb="2" eb="6">
      <t>カアツソウチ</t>
    </rPh>
    <rPh sb="9" eb="13">
      <t>ソンシツスイトウ</t>
    </rPh>
    <phoneticPr fontId="1"/>
  </si>
  <si>
    <t>=</t>
  </si>
  <si>
    <t>=</t>
    <phoneticPr fontId="1"/>
  </si>
  <si>
    <t>≒</t>
    <phoneticPr fontId="1"/>
  </si>
  <si>
    <t>MPa</t>
  </si>
  <si>
    <t>MPa</t>
    <phoneticPr fontId="1"/>
  </si>
  <si>
    <t>減圧式逆流防止器直前の流入圧</t>
    <phoneticPr fontId="1"/>
  </si>
  <si>
    <r>
      <rPr>
        <sz val="14"/>
        <color theme="1"/>
        <rFont val="游ゴシック"/>
        <family val="3"/>
        <charset val="128"/>
      </rPr>
      <t>上記計算結果より、直結加圧装置の吐出圧を</t>
    </r>
    <rPh sb="0" eb="2">
      <t>ジョウキ</t>
    </rPh>
    <rPh sb="2" eb="6">
      <t>ケイサンケッカ</t>
    </rPh>
    <rPh sb="9" eb="11">
      <t>チョッケツ</t>
    </rPh>
    <rPh sb="11" eb="15">
      <t>カアツソウチ</t>
    </rPh>
    <rPh sb="16" eb="19">
      <t>トシュツアツ</t>
    </rPh>
    <phoneticPr fontId="1"/>
  </si>
  <si>
    <r>
      <rPr>
        <sz val="14"/>
        <color theme="1"/>
        <rFont val="游ゴシック"/>
        <family val="3"/>
        <charset val="128"/>
      </rPr>
      <t>直結加圧装置による増圧分は</t>
    </r>
    <rPh sb="0" eb="6">
      <t>チョッケツカアツソウチ</t>
    </rPh>
    <rPh sb="9" eb="12">
      <t>ゾウアツブン</t>
    </rPh>
    <phoneticPr fontId="1"/>
  </si>
  <si>
    <r>
      <t>m(</t>
    </r>
    <r>
      <rPr>
        <sz val="14"/>
        <color theme="1"/>
        <rFont val="Yu Gothic"/>
        <family val="1"/>
        <charset val="128"/>
      </rPr>
      <t>流入有効水圧</t>
    </r>
    <r>
      <rPr>
        <sz val="14"/>
        <color theme="1"/>
        <rFont val="Times New Roman"/>
        <family val="1"/>
      </rPr>
      <t>)</t>
    </r>
    <rPh sb="2" eb="4">
      <t>リュウニュウ</t>
    </rPh>
    <rPh sb="4" eb="6">
      <t>ユウコウ</t>
    </rPh>
    <rPh sb="6" eb="8">
      <t>スイアツ</t>
    </rPh>
    <phoneticPr fontId="1"/>
  </si>
  <si>
    <r>
      <t>(</t>
    </r>
    <r>
      <rPr>
        <sz val="14"/>
        <color theme="1"/>
        <rFont val="游ゴシック"/>
        <family val="3"/>
        <charset val="128"/>
      </rPr>
      <t>吐出圧設定</t>
    </r>
    <r>
      <rPr>
        <sz val="14"/>
        <color theme="1"/>
        <rFont val="Times New Roman"/>
        <family val="1"/>
      </rPr>
      <t xml:space="preserve">) </t>
    </r>
    <r>
      <rPr>
        <sz val="14"/>
        <color theme="1"/>
        <rFont val="游ゴシック"/>
        <family val="3"/>
        <charset val="128"/>
      </rPr>
      <t>ー</t>
    </r>
    <rPh sb="1" eb="4">
      <t>トシュツアツ</t>
    </rPh>
    <rPh sb="4" eb="6">
      <t>セッテイ</t>
    </rPh>
    <phoneticPr fontId="1"/>
  </si>
  <si>
    <t>この時の全流量は</t>
    <rPh sb="2" eb="3">
      <t>トキ</t>
    </rPh>
    <rPh sb="4" eb="7">
      <t>ゼンリュウリョウ</t>
    </rPh>
    <phoneticPr fontId="1"/>
  </si>
  <si>
    <t>＝</t>
    <phoneticPr fontId="1"/>
  </si>
  <si>
    <t>(l/min)</t>
    <phoneticPr fontId="1"/>
  </si>
  <si>
    <t>(l/s)</t>
    <phoneticPr fontId="1"/>
  </si>
  <si>
    <t>したがって、流量</t>
    <rPh sb="6" eb="8">
      <t>リュウリョウ</t>
    </rPh>
    <phoneticPr fontId="1"/>
  </si>
  <si>
    <t>において全揚程</t>
    <rPh sb="4" eb="7">
      <t>ゼンヨウテイ</t>
    </rPh>
    <phoneticPr fontId="1"/>
  </si>
  <si>
    <t>以上を満足するポンプを選定する。</t>
    <rPh sb="0" eb="2">
      <t>イジョウ</t>
    </rPh>
    <rPh sb="3" eb="5">
      <t>マンゾク</t>
    </rPh>
    <rPh sb="11" eb="13">
      <t>センテイ</t>
    </rPh>
    <phoneticPr fontId="1"/>
  </si>
  <si>
    <t>1/1</t>
  </si>
  <si>
    <t>1/2</t>
  </si>
  <si>
    <t>1/3</t>
  </si>
  <si>
    <t>1/4</t>
  </si>
  <si>
    <t>2/2</t>
  </si>
  <si>
    <t>2/3</t>
  </si>
  <si>
    <t>2/4</t>
  </si>
  <si>
    <t>PeH</t>
  </si>
  <si>
    <t>水色のセルのみ入力してください</t>
    <rPh sb="0" eb="2">
      <t>ミズイロ</t>
    </rPh>
    <rPh sb="7" eb="9">
      <t>ニュウリョク</t>
    </rPh>
    <phoneticPr fontId="1"/>
  </si>
  <si>
    <t>栓数による1栓当たりの使用水量値</t>
    <rPh sb="0" eb="1">
      <t>セン</t>
    </rPh>
    <rPh sb="1" eb="2">
      <t>スウ</t>
    </rPh>
    <rPh sb="6" eb="7">
      <t>セン</t>
    </rPh>
    <rPh sb="7" eb="8">
      <t>ア</t>
    </rPh>
    <rPh sb="11" eb="15">
      <t>シヨウスイリョウ</t>
    </rPh>
    <rPh sb="15" eb="16">
      <t>チ</t>
    </rPh>
    <phoneticPr fontId="1"/>
  </si>
  <si>
    <t>※通常φ13→0.2L/s
　　　φ20→0.7L/s（他の数値入力可）</t>
    <rPh sb="1" eb="3">
      <t>ツウジョウ</t>
    </rPh>
    <rPh sb="28" eb="29">
      <t>ホカ</t>
    </rPh>
    <rPh sb="30" eb="32">
      <t>スウチ</t>
    </rPh>
    <rPh sb="32" eb="34">
      <t>ニュウリョク</t>
    </rPh>
    <rPh sb="34" eb="35">
      <t>カ</t>
    </rPh>
    <phoneticPr fontId="1"/>
  </si>
  <si>
    <t xml:space="preserve"> 動水勾配の算出で、</t>
    <rPh sb="1" eb="5">
      <t>ドウスイコウバイ</t>
    </rPh>
    <rPh sb="6" eb="8">
      <t>サンシュツ</t>
    </rPh>
    <phoneticPr fontId="1"/>
  </si>
  <si>
    <t>の内径を考慮する。</t>
    <rPh sb="1" eb="3">
      <t>ナイケイ</t>
    </rPh>
    <rPh sb="4" eb="6">
      <t>コウリョ</t>
    </rPh>
    <phoneticPr fontId="1"/>
  </si>
  <si>
    <t>前項</t>
    <rPh sb="0" eb="2">
      <t>ゼンコウ</t>
    </rPh>
    <phoneticPr fontId="1"/>
  </si>
  <si>
    <t>2/5</t>
  </si>
  <si>
    <t>3/3</t>
  </si>
  <si>
    <t>3/3</t>
    <phoneticPr fontId="1"/>
  </si>
  <si>
    <t>3/4</t>
    <phoneticPr fontId="1"/>
  </si>
  <si>
    <t>3/5</t>
    <phoneticPr fontId="1"/>
  </si>
  <si>
    <t>1/5</t>
  </si>
  <si>
    <t>水理計算でシート（2）まで使用する場合、備考欄の文章は消えます。
シート（2）を使用していない場合は、「器具及び管種」の列はすべて消してください。</t>
    <rPh sb="0" eb="4">
      <t>スイリケイサン</t>
    </rPh>
    <rPh sb="13" eb="15">
      <t>シヨウ</t>
    </rPh>
    <rPh sb="17" eb="19">
      <t>バアイ</t>
    </rPh>
    <rPh sb="20" eb="23">
      <t>ビコウラン</t>
    </rPh>
    <rPh sb="24" eb="25">
      <t>ブン</t>
    </rPh>
    <rPh sb="25" eb="26">
      <t>ショウ</t>
    </rPh>
    <rPh sb="27" eb="28">
      <t>キ</t>
    </rPh>
    <rPh sb="40" eb="42">
      <t>シヨウ</t>
    </rPh>
    <rPh sb="47" eb="49">
      <t>バアイ</t>
    </rPh>
    <rPh sb="52" eb="54">
      <t>キグ</t>
    </rPh>
    <rPh sb="54" eb="55">
      <t>オヨ</t>
    </rPh>
    <rPh sb="56" eb="58">
      <t>カンシュ</t>
    </rPh>
    <rPh sb="60" eb="61">
      <t>レツ</t>
    </rPh>
    <rPh sb="65" eb="66">
      <t>ケ</t>
    </rPh>
    <phoneticPr fontId="1"/>
  </si>
  <si>
    <t>・基本的な入力方法は直圧・受水槽版のExcelと同じ。</t>
    <rPh sb="1" eb="4">
      <t>キホンテキ</t>
    </rPh>
    <rPh sb="5" eb="9">
      <t>ニュウリョクホウホウ</t>
    </rPh>
    <rPh sb="10" eb="12">
      <t>チョクアツ</t>
    </rPh>
    <rPh sb="13" eb="16">
      <t>ジュスイソウ</t>
    </rPh>
    <rPh sb="16" eb="17">
      <t>バン</t>
    </rPh>
    <rPh sb="24" eb="25">
      <t>オナ</t>
    </rPh>
    <phoneticPr fontId="1"/>
  </si>
  <si>
    <t>・直結加圧装置までの計算は「水理計算書（直結加圧装置まで）」のシートに入力し、</t>
    <rPh sb="1" eb="5">
      <t>チョッケツカアツ</t>
    </rPh>
    <rPh sb="5" eb="7">
      <t>ソウチ</t>
    </rPh>
    <rPh sb="10" eb="12">
      <t>ケイサン</t>
    </rPh>
    <rPh sb="14" eb="19">
      <t>スイリケイサンショ</t>
    </rPh>
    <rPh sb="20" eb="22">
      <t>チョッケツ</t>
    </rPh>
    <rPh sb="22" eb="26">
      <t>カアツソウチ</t>
    </rPh>
    <rPh sb="35" eb="37">
      <t>ニュウリョク</t>
    </rPh>
    <phoneticPr fontId="1"/>
  </si>
  <si>
    <t>それ以降は「水理計算書（直結加圧装置下流）（1）または（2）」入力する。</t>
    <rPh sb="2" eb="4">
      <t>イコウ</t>
    </rPh>
    <rPh sb="6" eb="11">
      <t>スイリケイサンショ</t>
    </rPh>
    <rPh sb="12" eb="18">
      <t>チョッケツカアツソウチ</t>
    </rPh>
    <rPh sb="18" eb="20">
      <t>カリュウ</t>
    </rPh>
    <rPh sb="31" eb="33">
      <t>ニュウリョク</t>
    </rPh>
    <phoneticPr fontId="1"/>
  </si>
  <si>
    <t>・「水理計算書（直結加圧装置下流）（2）」のシートの「器具及び管種」の列に</t>
    <rPh sb="27" eb="29">
      <t>キグ</t>
    </rPh>
    <rPh sb="29" eb="30">
      <t>オヨ</t>
    </rPh>
    <rPh sb="31" eb="33">
      <t>カンシュ</t>
    </rPh>
    <rPh sb="35" eb="36">
      <t>レツ</t>
    </rPh>
    <phoneticPr fontId="1"/>
  </si>
  <si>
    <t>何かしらの値が入っていると「水理計算書（直結加圧装置下流）（1）」のシートの</t>
    <rPh sb="5" eb="6">
      <t>アタイ</t>
    </rPh>
    <rPh sb="7" eb="8">
      <t>ハイ</t>
    </rPh>
    <phoneticPr fontId="1"/>
  </si>
  <si>
    <t>備考欄の内容が非表示となるため、（1）のシートのみで水理計算が合わる場合は</t>
    <rPh sb="0" eb="3">
      <t>ビコウラン</t>
    </rPh>
    <rPh sb="4" eb="6">
      <t>ナイヨウ</t>
    </rPh>
    <rPh sb="7" eb="10">
      <t>ヒヒョウジ</t>
    </rPh>
    <rPh sb="26" eb="30">
      <t>スイリケイサン</t>
    </rPh>
    <rPh sb="31" eb="32">
      <t>ア</t>
    </rPh>
    <rPh sb="34" eb="36">
      <t>バアイ</t>
    </rPh>
    <phoneticPr fontId="1"/>
  </si>
  <si>
    <t>（2）のシートの「器具及び管種」の列は何も入力しない。</t>
    <rPh sb="17" eb="18">
      <t>レツ</t>
    </rPh>
    <rPh sb="19" eb="20">
      <t>ナニ</t>
    </rPh>
    <rPh sb="21" eb="23">
      <t>ニュウリョク</t>
    </rPh>
    <phoneticPr fontId="1"/>
  </si>
  <si>
    <t>（人）</t>
    <rPh sb="1" eb="2">
      <t>ニン</t>
    </rPh>
    <phoneticPr fontId="1"/>
  </si>
  <si>
    <t>≧5ｍ</t>
    <phoneticPr fontId="1"/>
  </si>
  <si>
    <t>PeH50</t>
  </si>
  <si>
    <t>2/3</t>
    <phoneticPr fontId="1"/>
  </si>
  <si>
    <t>給水管</t>
    <rPh sb="0" eb="3">
      <t>キュウスイカン</t>
    </rPh>
    <phoneticPr fontId="1"/>
  </si>
  <si>
    <t>給水管</t>
    <phoneticPr fontId="1"/>
  </si>
  <si>
    <t>042</t>
    <phoneticPr fontId="1"/>
  </si>
  <si>
    <t>Ver.1.00.3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</si>
</sst>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&quot;Φ&quot;0"/>
    <numFmt numFmtId="178" formatCode="0.00_);[Red]\(0.00\)"/>
    <numFmt numFmtId="179" formatCode="0_ "/>
    <numFmt numFmtId="180" formatCode="##&quot;～&quot;##&quot;間&quot;"/>
    <numFmt numFmtId="181" formatCode="0.00_ "/>
    <numFmt numFmtId="182" formatCode="0.0_ "/>
    <numFmt numFmtId="183" formatCode="0.00000_ "/>
    <numFmt numFmtId="184" formatCode="0.00&quot;m&quot;"/>
    <numFmt numFmtId="185" formatCode="0&quot;m&quot;"/>
    <numFmt numFmtId="186" formatCode="0.0&quot;m&quot;"/>
    <numFmt numFmtId="187" formatCode="0.00&quot;L/s&quot;"/>
  </numFmts>
  <fonts count="5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8"/>
      <color rgb="FFFF0000"/>
      <name val="HG丸ｺﾞｼｯｸM-PRO"/>
      <family val="3"/>
      <charset val="128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theme="1"/>
      <name val="Times New Roman"/>
      <family val="1"/>
    </font>
    <font>
      <sz val="16"/>
      <color theme="1"/>
      <name val="游ゴシック"/>
      <family val="2"/>
      <charset val="128"/>
    </font>
    <font>
      <sz val="16"/>
      <name val="Times New Roman"/>
      <family val="1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6"/>
      <color theme="1"/>
      <name val="ＭＳ Ｐ明朝"/>
      <family val="1"/>
      <charset val="128"/>
    </font>
    <font>
      <sz val="16"/>
      <color theme="1"/>
      <name val="游ゴシック"/>
      <family val="3"/>
      <charset val="128"/>
      <scheme val="minor"/>
    </font>
    <font>
      <sz val="28"/>
      <color theme="1"/>
      <name val="HGP明朝B"/>
      <family val="1"/>
      <charset val="128"/>
    </font>
    <font>
      <sz val="11"/>
      <color theme="2" tint="-0.249977111117893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color rgb="FFFF0000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4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20"/>
      <color theme="1"/>
      <name val="Times New Roman"/>
      <family val="1"/>
    </font>
    <font>
      <sz val="14"/>
      <color theme="1"/>
      <name val="ＭＳ Ｐ明朝"/>
      <family val="1"/>
      <charset val="128"/>
    </font>
    <font>
      <sz val="14"/>
      <color theme="1"/>
      <name val="Yu Gothic"/>
      <family val="1"/>
      <charset val="128"/>
    </font>
    <font>
      <sz val="14"/>
      <color theme="1"/>
      <name val="游ゴシック"/>
      <family val="3"/>
      <charset val="128"/>
    </font>
    <font>
      <sz val="11"/>
      <color theme="2" tint="-9.9978637043366805E-2"/>
      <name val="游ゴシック"/>
      <family val="2"/>
      <charset val="128"/>
      <scheme val="minor"/>
    </font>
    <font>
      <sz val="28"/>
      <color theme="1"/>
      <name val="Times New Roman"/>
      <family val="1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2" tint="-0.249977111117893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CFBFE"/>
        <bgColor indexed="64"/>
      </patternFill>
    </fill>
    <fill>
      <patternFill patternType="solid">
        <fgColor theme="2" tint="-9.9978637043366805E-2"/>
        <bgColor indexed="64"/>
      </patternFill>
    </fill>
  </fills>
  <borders count="1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rgb="FFFF0000"/>
      </top>
      <bottom/>
      <diagonal/>
    </border>
    <border>
      <left style="thin">
        <color indexed="64"/>
      </left>
      <right style="hair">
        <color indexed="64"/>
      </right>
      <top style="medium">
        <color rgb="FFFF0000"/>
      </top>
      <bottom/>
      <diagonal/>
    </border>
    <border>
      <left style="hair">
        <color indexed="64"/>
      </left>
      <right style="hair">
        <color indexed="64"/>
      </right>
      <top style="medium">
        <color rgb="FFFF0000"/>
      </top>
      <bottom/>
      <diagonal/>
    </border>
    <border>
      <left style="hair">
        <color indexed="64"/>
      </left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medium">
        <color rgb="FFFF000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rgb="FFFF0000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rgb="FFFF0000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rgb="FFFF0000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double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5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9" xfId="0" applyNumberFormat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right" vertical="center" shrinkToFi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2" borderId="19" xfId="1" applyFont="1" applyFill="1" applyBorder="1" applyAlignment="1">
      <alignment vertical="center"/>
    </xf>
    <xf numFmtId="0" fontId="2" fillId="3" borderId="31" xfId="1" applyFont="1" applyFill="1" applyBorder="1" applyAlignment="1">
      <alignment horizontal="center" vertical="center" wrapText="1" shrinkToFit="1"/>
    </xf>
    <xf numFmtId="0" fontId="2" fillId="3" borderId="33" xfId="1" applyFont="1" applyFill="1" applyBorder="1" applyAlignment="1">
      <alignment horizontal="center" vertical="center" wrapText="1" shrinkToFit="1"/>
    </xf>
    <xf numFmtId="0" fontId="2" fillId="3" borderId="32" xfId="1" applyFont="1" applyFill="1" applyBorder="1" applyAlignment="1">
      <alignment horizontal="center" vertical="center" wrapText="1" shrinkToFit="1"/>
    </xf>
    <xf numFmtId="0" fontId="2" fillId="3" borderId="34" xfId="1" applyFont="1" applyFill="1" applyBorder="1" applyAlignment="1">
      <alignment horizontal="center" vertical="center" wrapText="1" shrinkToFit="1"/>
    </xf>
    <xf numFmtId="0" fontId="2" fillId="3" borderId="35" xfId="1" applyFont="1" applyFill="1" applyBorder="1" applyAlignment="1">
      <alignment horizontal="center" vertical="center" wrapText="1" shrinkToFit="1"/>
    </xf>
    <xf numFmtId="0" fontId="2" fillId="3" borderId="36" xfId="1" applyFont="1" applyFill="1" applyBorder="1" applyAlignment="1">
      <alignment horizontal="center" vertical="center" wrapText="1" shrinkToFit="1"/>
    </xf>
    <xf numFmtId="0" fontId="2" fillId="3" borderId="37" xfId="1" applyFont="1" applyFill="1" applyBorder="1" applyAlignment="1">
      <alignment vertical="center" wrapText="1"/>
    </xf>
    <xf numFmtId="0" fontId="2" fillId="3" borderId="38" xfId="1" applyFont="1" applyFill="1" applyBorder="1" applyAlignment="1">
      <alignment vertical="center" wrapText="1"/>
    </xf>
    <xf numFmtId="0" fontId="11" fillId="3" borderId="39" xfId="1" applyFont="1" applyFill="1" applyBorder="1" applyAlignment="1">
      <alignment vertical="center"/>
    </xf>
    <xf numFmtId="0" fontId="11" fillId="3" borderId="39" xfId="1" applyFont="1" applyFill="1" applyBorder="1" applyAlignment="1">
      <alignment vertical="center" wrapText="1"/>
    </xf>
    <xf numFmtId="0" fontId="2" fillId="3" borderId="39" xfId="1" applyFont="1" applyFill="1" applyBorder="1" applyAlignment="1">
      <alignment horizontal="center" vertical="center" wrapText="1" shrinkToFit="1"/>
    </xf>
    <xf numFmtId="0" fontId="2" fillId="3" borderId="40" xfId="1" applyFont="1" applyFill="1" applyBorder="1" applyAlignment="1">
      <alignment horizontal="center" vertical="center" wrapText="1" shrinkToFit="1"/>
    </xf>
    <xf numFmtId="0" fontId="2" fillId="2" borderId="26" xfId="1" applyFont="1" applyFill="1" applyBorder="1" applyAlignment="1">
      <alignment horizontal="center" vertical="center" shrinkToFit="1"/>
    </xf>
    <xf numFmtId="0" fontId="11" fillId="2" borderId="41" xfId="1" applyFont="1" applyFill="1" applyBorder="1" applyAlignment="1">
      <alignment horizontal="center" vertical="center"/>
    </xf>
    <xf numFmtId="0" fontId="11" fillId="2" borderId="42" xfId="1" applyFont="1" applyFill="1" applyBorder="1" applyAlignment="1">
      <alignment horizontal="center" vertical="center"/>
    </xf>
    <xf numFmtId="0" fontId="11" fillId="2" borderId="43" xfId="1" applyFont="1" applyFill="1" applyBorder="1" applyAlignment="1">
      <alignment horizontal="center" vertical="center"/>
    </xf>
    <xf numFmtId="0" fontId="11" fillId="2" borderId="41" xfId="1" applyFont="1" applyFill="1" applyBorder="1" applyAlignment="1">
      <alignment horizontal="center" vertical="center" wrapText="1"/>
    </xf>
    <xf numFmtId="0" fontId="11" fillId="2" borderId="42" xfId="1" applyFont="1" applyFill="1" applyBorder="1" applyAlignment="1">
      <alignment horizontal="center" vertical="center" wrapText="1"/>
    </xf>
    <xf numFmtId="0" fontId="11" fillId="2" borderId="43" xfId="1" applyFont="1" applyFill="1" applyBorder="1" applyAlignment="1">
      <alignment horizontal="center" vertical="center" wrapText="1"/>
    </xf>
    <xf numFmtId="0" fontId="10" fillId="3" borderId="41" xfId="1" applyFont="1" applyFill="1" applyBorder="1" applyAlignment="1">
      <alignment horizontal="center" vertical="center" wrapText="1" shrinkToFit="1"/>
    </xf>
    <xf numFmtId="0" fontId="10" fillId="3" borderId="43" xfId="1" applyFont="1" applyFill="1" applyBorder="1" applyAlignment="1">
      <alignment horizontal="center" vertical="center" wrapText="1" shrinkToFit="1"/>
    </xf>
    <xf numFmtId="0" fontId="10" fillId="3" borderId="42" xfId="1" applyFont="1" applyFill="1" applyBorder="1" applyAlignment="1">
      <alignment horizontal="center" vertical="center" wrapText="1" shrinkToFit="1"/>
    </xf>
    <xf numFmtId="0" fontId="10" fillId="3" borderId="44" xfId="1" applyFont="1" applyFill="1" applyBorder="1" applyAlignment="1">
      <alignment horizontal="center" vertical="center" wrapText="1" shrinkToFit="1"/>
    </xf>
    <xf numFmtId="0" fontId="10" fillId="3" borderId="0" xfId="1" applyFont="1" applyFill="1" applyAlignment="1">
      <alignment horizontal="center" vertical="center" wrapText="1" shrinkToFit="1"/>
    </xf>
    <xf numFmtId="0" fontId="10" fillId="3" borderId="45" xfId="1" applyFont="1" applyFill="1" applyBorder="1" applyAlignment="1">
      <alignment horizontal="center" vertical="center" wrapText="1" shrinkToFit="1"/>
    </xf>
    <xf numFmtId="0" fontId="11" fillId="3" borderId="46" xfId="1" applyFont="1" applyFill="1" applyBorder="1" applyAlignment="1">
      <alignment horizontal="center" vertical="center"/>
    </xf>
    <xf numFmtId="0" fontId="11" fillId="3" borderId="47" xfId="1" applyFont="1" applyFill="1" applyBorder="1" applyAlignment="1">
      <alignment horizontal="center" vertical="center"/>
    </xf>
    <xf numFmtId="0" fontId="11" fillId="3" borderId="47" xfId="1" applyFont="1" applyFill="1" applyBorder="1" applyAlignment="1">
      <alignment horizontal="center" vertical="center" wrapText="1"/>
    </xf>
    <xf numFmtId="0" fontId="10" fillId="3" borderId="47" xfId="1" applyFont="1" applyFill="1" applyBorder="1" applyAlignment="1">
      <alignment horizontal="center" vertical="center" wrapText="1" shrinkToFit="1"/>
    </xf>
    <xf numFmtId="0" fontId="10" fillId="3" borderId="48" xfId="1" applyFont="1" applyFill="1" applyBorder="1" applyAlignment="1">
      <alignment horizontal="center" vertical="center" wrapText="1" shrinkToFit="1"/>
    </xf>
    <xf numFmtId="0" fontId="6" fillId="0" borderId="34" xfId="1" applyFont="1" applyBorder="1" applyAlignment="1">
      <alignment vertical="center" shrinkToFit="1"/>
    </xf>
    <xf numFmtId="0" fontId="10" fillId="2" borderId="49" xfId="1" applyFont="1" applyFill="1" applyBorder="1" applyAlignment="1">
      <alignment horizontal="center" vertical="center" shrinkToFit="1"/>
    </xf>
    <xf numFmtId="177" fontId="11" fillId="2" borderId="50" xfId="1" applyNumberFormat="1" applyFont="1" applyFill="1" applyBorder="1" applyAlignment="1">
      <alignment horizontal="center" vertical="center"/>
    </xf>
    <xf numFmtId="177" fontId="11" fillId="2" borderId="51" xfId="1" applyNumberFormat="1" applyFont="1" applyFill="1" applyBorder="1" applyAlignment="1">
      <alignment horizontal="center" vertical="center"/>
    </xf>
    <xf numFmtId="177" fontId="11" fillId="2" borderId="52" xfId="1" applyNumberFormat="1" applyFont="1" applyFill="1" applyBorder="1" applyAlignment="1">
      <alignment horizontal="center" vertical="center"/>
    </xf>
    <xf numFmtId="177" fontId="10" fillId="3" borderId="50" xfId="1" applyNumberFormat="1" applyFont="1" applyFill="1" applyBorder="1" applyAlignment="1">
      <alignment horizontal="center" vertical="center"/>
    </xf>
    <xf numFmtId="177" fontId="10" fillId="3" borderId="52" xfId="1" applyNumberFormat="1" applyFont="1" applyFill="1" applyBorder="1" applyAlignment="1">
      <alignment horizontal="center" vertical="center"/>
    </xf>
    <xf numFmtId="177" fontId="10" fillId="3" borderId="51" xfId="1" applyNumberFormat="1" applyFont="1" applyFill="1" applyBorder="1" applyAlignment="1">
      <alignment horizontal="center" vertical="center"/>
    </xf>
    <xf numFmtId="177" fontId="10" fillId="3" borderId="53" xfId="1" applyNumberFormat="1" applyFont="1" applyFill="1" applyBorder="1" applyAlignment="1">
      <alignment horizontal="center" vertical="center"/>
    </xf>
    <xf numFmtId="177" fontId="11" fillId="3" borderId="54" xfId="1" applyNumberFormat="1" applyFont="1" applyFill="1" applyBorder="1" applyAlignment="1">
      <alignment horizontal="center" vertical="center"/>
    </xf>
    <xf numFmtId="177" fontId="11" fillId="3" borderId="51" xfId="1" applyNumberFormat="1" applyFont="1" applyFill="1" applyBorder="1" applyAlignment="1">
      <alignment horizontal="center" vertical="center"/>
    </xf>
    <xf numFmtId="177" fontId="10" fillId="3" borderId="55" xfId="1" applyNumberFormat="1" applyFont="1" applyFill="1" applyBorder="1" applyAlignment="1">
      <alignment horizontal="center" vertical="center"/>
    </xf>
    <xf numFmtId="0" fontId="6" fillId="0" borderId="56" xfId="1" applyFont="1" applyBorder="1" applyAlignment="1">
      <alignment vertical="center" shrinkToFit="1"/>
    </xf>
    <xf numFmtId="0" fontId="2" fillId="4" borderId="57" xfId="1" applyFont="1" applyFill="1" applyBorder="1" applyAlignment="1">
      <alignment horizontal="center" vertical="center" shrinkToFit="1"/>
    </xf>
    <xf numFmtId="177" fontId="11" fillId="4" borderId="58" xfId="1" applyNumberFormat="1" applyFont="1" applyFill="1" applyBorder="1" applyAlignment="1">
      <alignment horizontal="center" vertical="center" shrinkToFit="1"/>
    </xf>
    <xf numFmtId="177" fontId="11" fillId="4" borderId="59" xfId="1" applyNumberFormat="1" applyFont="1" applyFill="1" applyBorder="1" applyAlignment="1">
      <alignment horizontal="center" vertical="center"/>
    </xf>
    <xf numFmtId="177" fontId="11" fillId="4" borderId="60" xfId="1" applyNumberFormat="1" applyFont="1" applyFill="1" applyBorder="1" applyAlignment="1">
      <alignment horizontal="center" vertical="center"/>
    </xf>
    <xf numFmtId="177" fontId="11" fillId="4" borderId="61" xfId="1" applyNumberFormat="1" applyFont="1" applyFill="1" applyBorder="1" applyAlignment="1">
      <alignment horizontal="center" vertical="center"/>
    </xf>
    <xf numFmtId="177" fontId="11" fillId="4" borderId="58" xfId="1" applyNumberFormat="1" applyFont="1" applyFill="1" applyBorder="1" applyAlignment="1">
      <alignment horizontal="center" vertical="center"/>
    </xf>
    <xf numFmtId="177" fontId="10" fillId="4" borderId="58" xfId="1" applyNumberFormat="1" applyFont="1" applyFill="1" applyBorder="1" applyAlignment="1">
      <alignment horizontal="center" vertical="center"/>
    </xf>
    <xf numFmtId="177" fontId="10" fillId="4" borderId="60" xfId="1" applyNumberFormat="1" applyFont="1" applyFill="1" applyBorder="1" applyAlignment="1">
      <alignment horizontal="center" vertical="center"/>
    </xf>
    <xf numFmtId="177" fontId="10" fillId="4" borderId="59" xfId="1" applyNumberFormat="1" applyFont="1" applyFill="1" applyBorder="1" applyAlignment="1">
      <alignment horizontal="center" vertical="center"/>
    </xf>
    <xf numFmtId="177" fontId="10" fillId="4" borderId="62" xfId="1" applyNumberFormat="1" applyFont="1" applyFill="1" applyBorder="1" applyAlignment="1">
      <alignment horizontal="center" vertical="center"/>
    </xf>
    <xf numFmtId="177" fontId="10" fillId="4" borderId="63" xfId="1" applyNumberFormat="1" applyFont="1" applyFill="1" applyBorder="1" applyAlignment="1">
      <alignment horizontal="center" vertical="center"/>
    </xf>
    <xf numFmtId="177" fontId="10" fillId="4" borderId="64" xfId="1" applyNumberFormat="1" applyFont="1" applyFill="1" applyBorder="1" applyAlignment="1">
      <alignment horizontal="center" vertical="center"/>
    </xf>
    <xf numFmtId="2" fontId="12" fillId="3" borderId="65" xfId="1" applyNumberFormat="1" applyFont="1" applyFill="1" applyBorder="1" applyAlignment="1">
      <alignment horizontal="right" vertical="center" shrinkToFit="1"/>
    </xf>
    <xf numFmtId="176" fontId="12" fillId="0" borderId="66" xfId="1" applyNumberFormat="1" applyFont="1" applyBorder="1" applyAlignment="1">
      <alignment horizontal="center" vertical="center"/>
    </xf>
    <xf numFmtId="2" fontId="12" fillId="0" borderId="67" xfId="1" applyNumberFormat="1" applyFont="1" applyBorder="1" applyAlignment="1">
      <alignment horizontal="right" vertical="center"/>
    </xf>
    <xf numFmtId="2" fontId="12" fillId="0" borderId="68" xfId="1" applyNumberFormat="1" applyFont="1" applyBorder="1" applyAlignment="1">
      <alignment horizontal="right" vertical="center"/>
    </xf>
    <xf numFmtId="2" fontId="12" fillId="0" borderId="69" xfId="1" applyNumberFormat="1" applyFont="1" applyBorder="1" applyAlignment="1">
      <alignment horizontal="right" vertical="center"/>
    </xf>
    <xf numFmtId="2" fontId="12" fillId="0" borderId="70" xfId="1" applyNumberFormat="1" applyFont="1" applyBorder="1" applyAlignment="1">
      <alignment horizontal="right" vertical="center"/>
    </xf>
    <xf numFmtId="178" fontId="12" fillId="0" borderId="67" xfId="1" applyNumberFormat="1" applyFont="1" applyBorder="1" applyAlignment="1">
      <alignment horizontal="right" vertical="center"/>
    </xf>
    <xf numFmtId="178" fontId="12" fillId="0" borderId="68" xfId="1" applyNumberFormat="1" applyFont="1" applyBorder="1" applyAlignment="1">
      <alignment horizontal="right" vertical="center"/>
    </xf>
    <xf numFmtId="178" fontId="12" fillId="0" borderId="69" xfId="1" applyNumberFormat="1" applyFont="1" applyBorder="1" applyAlignment="1">
      <alignment horizontal="right" vertical="center"/>
    </xf>
    <xf numFmtId="2" fontId="12" fillId="0" borderId="71" xfId="1" applyNumberFormat="1" applyFont="1" applyBorder="1" applyAlignment="1">
      <alignment horizontal="right" vertical="center"/>
    </xf>
    <xf numFmtId="178" fontId="12" fillId="0" borderId="71" xfId="1" applyNumberFormat="1" applyFont="1" applyBorder="1" applyAlignment="1">
      <alignment horizontal="right" vertical="center"/>
    </xf>
    <xf numFmtId="178" fontId="12" fillId="0" borderId="70" xfId="1" applyNumberFormat="1" applyFont="1" applyBorder="1" applyAlignment="1">
      <alignment horizontal="right" vertical="center"/>
    </xf>
    <xf numFmtId="2" fontId="12" fillId="0" borderId="72" xfId="1" applyNumberFormat="1" applyFont="1" applyBorder="1" applyAlignment="1">
      <alignment horizontal="right" vertical="center"/>
    </xf>
    <xf numFmtId="178" fontId="12" fillId="0" borderId="73" xfId="1" applyNumberFormat="1" applyFont="1" applyBorder="1" applyAlignment="1">
      <alignment horizontal="right" vertical="center"/>
    </xf>
    <xf numFmtId="2" fontId="12" fillId="3" borderId="0" xfId="1" applyNumberFormat="1" applyFont="1" applyFill="1" applyAlignment="1">
      <alignment horizontal="right" vertical="center"/>
    </xf>
    <xf numFmtId="176" fontId="12" fillId="0" borderId="74" xfId="1" applyNumberFormat="1" applyFont="1" applyBorder="1" applyAlignment="1">
      <alignment horizontal="center" vertical="center"/>
    </xf>
    <xf numFmtId="2" fontId="12" fillId="0" borderId="75" xfId="1" applyNumberFormat="1" applyFont="1" applyBorder="1" applyAlignment="1">
      <alignment horizontal="right" vertical="center"/>
    </xf>
    <xf numFmtId="2" fontId="12" fillId="0" borderId="76" xfId="1" applyNumberFormat="1" applyFont="1" applyBorder="1" applyAlignment="1">
      <alignment horizontal="right" vertical="center"/>
    </xf>
    <xf numFmtId="2" fontId="12" fillId="0" borderId="77" xfId="1" applyNumberFormat="1" applyFont="1" applyBorder="1" applyAlignment="1">
      <alignment horizontal="right" vertical="center"/>
    </xf>
    <xf numFmtId="2" fontId="12" fillId="0" borderId="78" xfId="1" applyNumberFormat="1" applyFont="1" applyBorder="1" applyAlignment="1">
      <alignment horizontal="right" vertical="center"/>
    </xf>
    <xf numFmtId="178" fontId="12" fillId="0" borderId="75" xfId="1" applyNumberFormat="1" applyFont="1" applyBorder="1" applyAlignment="1">
      <alignment horizontal="right" vertical="center"/>
    </xf>
    <xf numFmtId="178" fontId="12" fillId="0" borderId="76" xfId="1" applyNumberFormat="1" applyFont="1" applyBorder="1" applyAlignment="1">
      <alignment horizontal="right" vertical="center"/>
    </xf>
    <xf numFmtId="178" fontId="12" fillId="0" borderId="77" xfId="1" applyNumberFormat="1" applyFont="1" applyBorder="1" applyAlignment="1">
      <alignment horizontal="right" vertical="center"/>
    </xf>
    <xf numFmtId="2" fontId="12" fillId="0" borderId="79" xfId="1" applyNumberFormat="1" applyFont="1" applyBorder="1" applyAlignment="1">
      <alignment horizontal="right" vertical="center"/>
    </xf>
    <xf numFmtId="178" fontId="12" fillId="0" borderId="79" xfId="1" applyNumberFormat="1" applyFont="1" applyBorder="1" applyAlignment="1">
      <alignment horizontal="right" vertical="center"/>
    </xf>
    <xf numFmtId="178" fontId="12" fillId="0" borderId="80" xfId="1" applyNumberFormat="1" applyFont="1" applyBorder="1" applyAlignment="1">
      <alignment horizontal="right" vertical="center"/>
    </xf>
    <xf numFmtId="2" fontId="12" fillId="0" borderId="81" xfId="1" applyNumberFormat="1" applyFont="1" applyBorder="1" applyAlignment="1">
      <alignment horizontal="right" vertical="center"/>
    </xf>
    <xf numFmtId="178" fontId="12" fillId="0" borderId="82" xfId="1" applyNumberFormat="1" applyFont="1" applyBorder="1" applyAlignment="1">
      <alignment horizontal="right" vertical="center"/>
    </xf>
    <xf numFmtId="176" fontId="12" fillId="5" borderId="74" xfId="1" applyNumberFormat="1" applyFont="1" applyFill="1" applyBorder="1" applyAlignment="1">
      <alignment horizontal="center" vertical="center"/>
    </xf>
    <xf numFmtId="2" fontId="12" fillId="5" borderId="75" xfId="1" applyNumberFormat="1" applyFont="1" applyFill="1" applyBorder="1" applyAlignment="1">
      <alignment horizontal="right" vertical="center"/>
    </xf>
    <xf numFmtId="2" fontId="12" fillId="5" borderId="76" xfId="1" applyNumberFormat="1" applyFont="1" applyFill="1" applyBorder="1" applyAlignment="1">
      <alignment horizontal="right" vertical="center"/>
    </xf>
    <xf numFmtId="2" fontId="12" fillId="5" borderId="77" xfId="1" applyNumberFormat="1" applyFont="1" applyFill="1" applyBorder="1" applyAlignment="1">
      <alignment horizontal="right" vertical="center"/>
    </xf>
    <xf numFmtId="2" fontId="12" fillId="5" borderId="78" xfId="1" applyNumberFormat="1" applyFont="1" applyFill="1" applyBorder="1" applyAlignment="1">
      <alignment horizontal="right" vertical="center"/>
    </xf>
    <xf numFmtId="178" fontId="12" fillId="5" borderId="75" xfId="1" applyNumberFormat="1" applyFont="1" applyFill="1" applyBorder="1" applyAlignment="1">
      <alignment horizontal="right" vertical="center"/>
    </xf>
    <xf numFmtId="178" fontId="12" fillId="5" borderId="76" xfId="1" applyNumberFormat="1" applyFont="1" applyFill="1" applyBorder="1" applyAlignment="1">
      <alignment horizontal="right" vertical="center"/>
    </xf>
    <xf numFmtId="178" fontId="12" fillId="5" borderId="77" xfId="1" applyNumberFormat="1" applyFont="1" applyFill="1" applyBorder="1" applyAlignment="1">
      <alignment horizontal="right" vertical="center"/>
    </xf>
    <xf numFmtId="2" fontId="12" fillId="5" borderId="79" xfId="1" applyNumberFormat="1" applyFont="1" applyFill="1" applyBorder="1" applyAlignment="1">
      <alignment horizontal="right" vertical="center"/>
    </xf>
    <xf numFmtId="178" fontId="12" fillId="5" borderId="79" xfId="1" applyNumberFormat="1" applyFont="1" applyFill="1" applyBorder="1" applyAlignment="1">
      <alignment horizontal="right" vertical="center"/>
    </xf>
    <xf numFmtId="178" fontId="12" fillId="5" borderId="80" xfId="1" applyNumberFormat="1" applyFont="1" applyFill="1" applyBorder="1" applyAlignment="1">
      <alignment horizontal="right" vertical="center"/>
    </xf>
    <xf numFmtId="2" fontId="12" fillId="5" borderId="81" xfId="1" applyNumberFormat="1" applyFont="1" applyFill="1" applyBorder="1" applyAlignment="1">
      <alignment horizontal="right" vertical="center"/>
    </xf>
    <xf numFmtId="178" fontId="12" fillId="5" borderId="82" xfId="1" applyNumberFormat="1" applyFont="1" applyFill="1" applyBorder="1" applyAlignment="1">
      <alignment horizontal="right" vertical="center"/>
    </xf>
    <xf numFmtId="176" fontId="12" fillId="6" borderId="74" xfId="1" applyNumberFormat="1" applyFont="1" applyFill="1" applyBorder="1" applyAlignment="1">
      <alignment horizontal="center" vertical="center"/>
    </xf>
    <xf numFmtId="2" fontId="12" fillId="6" borderId="75" xfId="1" applyNumberFormat="1" applyFont="1" applyFill="1" applyBorder="1" applyAlignment="1">
      <alignment horizontal="right" vertical="center"/>
    </xf>
    <xf numFmtId="2" fontId="12" fillId="6" borderId="76" xfId="1" applyNumberFormat="1" applyFont="1" applyFill="1" applyBorder="1" applyAlignment="1">
      <alignment horizontal="right" vertical="center"/>
    </xf>
    <xf numFmtId="2" fontId="12" fillId="6" borderId="77" xfId="1" applyNumberFormat="1" applyFont="1" applyFill="1" applyBorder="1" applyAlignment="1">
      <alignment horizontal="right" vertical="center"/>
    </xf>
    <xf numFmtId="2" fontId="12" fillId="6" borderId="78" xfId="1" applyNumberFormat="1" applyFont="1" applyFill="1" applyBorder="1" applyAlignment="1">
      <alignment horizontal="right" vertical="center"/>
    </xf>
    <xf numFmtId="178" fontId="12" fillId="6" borderId="75" xfId="1" applyNumberFormat="1" applyFont="1" applyFill="1" applyBorder="1" applyAlignment="1">
      <alignment horizontal="right" vertical="center"/>
    </xf>
    <xf numFmtId="178" fontId="12" fillId="6" borderId="76" xfId="1" applyNumberFormat="1" applyFont="1" applyFill="1" applyBorder="1" applyAlignment="1">
      <alignment horizontal="right" vertical="center"/>
    </xf>
    <xf numFmtId="178" fontId="12" fillId="6" borderId="77" xfId="1" applyNumberFormat="1" applyFont="1" applyFill="1" applyBorder="1" applyAlignment="1">
      <alignment horizontal="right" vertical="center"/>
    </xf>
    <xf numFmtId="2" fontId="12" fillId="6" borderId="79" xfId="1" applyNumberFormat="1" applyFont="1" applyFill="1" applyBorder="1" applyAlignment="1">
      <alignment horizontal="right" vertical="center"/>
    </xf>
    <xf numFmtId="178" fontId="12" fillId="6" borderId="79" xfId="1" applyNumberFormat="1" applyFont="1" applyFill="1" applyBorder="1" applyAlignment="1">
      <alignment horizontal="right" vertical="center"/>
    </xf>
    <xf numFmtId="178" fontId="12" fillId="6" borderId="80" xfId="1" applyNumberFormat="1" applyFont="1" applyFill="1" applyBorder="1" applyAlignment="1">
      <alignment horizontal="right" vertical="center"/>
    </xf>
    <xf numFmtId="2" fontId="12" fillId="6" borderId="81" xfId="1" applyNumberFormat="1" applyFont="1" applyFill="1" applyBorder="1" applyAlignment="1">
      <alignment horizontal="right" vertical="center"/>
    </xf>
    <xf numFmtId="178" fontId="12" fillId="6" borderId="82" xfId="1" applyNumberFormat="1" applyFont="1" applyFill="1" applyBorder="1" applyAlignment="1">
      <alignment horizontal="right" vertical="center"/>
    </xf>
    <xf numFmtId="178" fontId="13" fillId="0" borderId="75" xfId="1" applyNumberFormat="1" applyFont="1" applyBorder="1" applyAlignment="1">
      <alignment horizontal="right" vertical="center"/>
    </xf>
    <xf numFmtId="178" fontId="13" fillId="0" borderId="76" xfId="1" applyNumberFormat="1" applyFont="1" applyBorder="1" applyAlignment="1">
      <alignment horizontal="right" vertical="center"/>
    </xf>
    <xf numFmtId="176" fontId="12" fillId="7" borderId="74" xfId="1" applyNumberFormat="1" applyFont="1" applyFill="1" applyBorder="1" applyAlignment="1">
      <alignment horizontal="center" vertical="center"/>
    </xf>
    <xf numFmtId="2" fontId="12" fillId="7" borderId="75" xfId="1" applyNumberFormat="1" applyFont="1" applyFill="1" applyBorder="1" applyAlignment="1">
      <alignment horizontal="right" vertical="center"/>
    </xf>
    <xf numFmtId="2" fontId="12" fillId="7" borderId="76" xfId="1" applyNumberFormat="1" applyFont="1" applyFill="1" applyBorder="1" applyAlignment="1">
      <alignment horizontal="right" vertical="center"/>
    </xf>
    <xf numFmtId="2" fontId="12" fillId="7" borderId="77" xfId="1" applyNumberFormat="1" applyFont="1" applyFill="1" applyBorder="1" applyAlignment="1">
      <alignment horizontal="right" vertical="center"/>
    </xf>
    <xf numFmtId="2" fontId="12" fillId="7" borderId="78" xfId="1" applyNumberFormat="1" applyFont="1" applyFill="1" applyBorder="1" applyAlignment="1">
      <alignment horizontal="right" vertical="center"/>
    </xf>
    <xf numFmtId="178" fontId="13" fillId="7" borderId="75" xfId="1" applyNumberFormat="1" applyFont="1" applyFill="1" applyBorder="1" applyAlignment="1">
      <alignment horizontal="right" vertical="center"/>
    </xf>
    <xf numFmtId="178" fontId="12" fillId="7" borderId="76" xfId="1" applyNumberFormat="1" applyFont="1" applyFill="1" applyBorder="1" applyAlignment="1">
      <alignment horizontal="right" vertical="center"/>
    </xf>
    <xf numFmtId="178" fontId="12" fillId="7" borderId="77" xfId="1" applyNumberFormat="1" applyFont="1" applyFill="1" applyBorder="1" applyAlignment="1">
      <alignment horizontal="right" vertical="center"/>
    </xf>
    <xf numFmtId="178" fontId="12" fillId="7" borderId="75" xfId="1" applyNumberFormat="1" applyFont="1" applyFill="1" applyBorder="1" applyAlignment="1">
      <alignment horizontal="right" vertical="center"/>
    </xf>
    <xf numFmtId="2" fontId="12" fillId="7" borderId="79" xfId="1" applyNumberFormat="1" applyFont="1" applyFill="1" applyBorder="1" applyAlignment="1">
      <alignment horizontal="right" vertical="center"/>
    </xf>
    <xf numFmtId="178" fontId="12" fillId="7" borderId="79" xfId="1" applyNumberFormat="1" applyFont="1" applyFill="1" applyBorder="1" applyAlignment="1">
      <alignment horizontal="right" vertical="center"/>
    </xf>
    <xf numFmtId="178" fontId="12" fillId="7" borderId="80" xfId="1" applyNumberFormat="1" applyFont="1" applyFill="1" applyBorder="1" applyAlignment="1">
      <alignment horizontal="right" vertical="center"/>
    </xf>
    <xf numFmtId="2" fontId="12" fillId="7" borderId="81" xfId="1" applyNumberFormat="1" applyFont="1" applyFill="1" applyBorder="1" applyAlignment="1">
      <alignment horizontal="right" vertical="center"/>
    </xf>
    <xf numFmtId="178" fontId="13" fillId="7" borderId="76" xfId="1" applyNumberFormat="1" applyFont="1" applyFill="1" applyBorder="1" applyAlignment="1">
      <alignment horizontal="right" vertical="center"/>
    </xf>
    <xf numFmtId="178" fontId="12" fillId="7" borderId="82" xfId="1" applyNumberFormat="1" applyFont="1" applyFill="1" applyBorder="1" applyAlignment="1">
      <alignment horizontal="right" vertical="center"/>
    </xf>
    <xf numFmtId="176" fontId="12" fillId="8" borderId="74" xfId="1" applyNumberFormat="1" applyFont="1" applyFill="1" applyBorder="1" applyAlignment="1">
      <alignment horizontal="center" vertical="center"/>
    </xf>
    <xf numFmtId="2" fontId="12" fillId="8" borderId="75" xfId="1" applyNumberFormat="1" applyFont="1" applyFill="1" applyBorder="1" applyAlignment="1">
      <alignment horizontal="right" vertical="center"/>
    </xf>
    <xf numFmtId="2" fontId="12" fillId="8" borderId="76" xfId="1" applyNumberFormat="1" applyFont="1" applyFill="1" applyBorder="1" applyAlignment="1">
      <alignment horizontal="right" vertical="center"/>
    </xf>
    <xf numFmtId="2" fontId="12" fillId="8" borderId="77" xfId="1" applyNumberFormat="1" applyFont="1" applyFill="1" applyBorder="1" applyAlignment="1">
      <alignment horizontal="right" vertical="center"/>
    </xf>
    <xf numFmtId="2" fontId="12" fillId="8" borderId="78" xfId="1" applyNumberFormat="1" applyFont="1" applyFill="1" applyBorder="1" applyAlignment="1">
      <alignment horizontal="right" vertical="center"/>
    </xf>
    <xf numFmtId="178" fontId="13" fillId="8" borderId="75" xfId="1" applyNumberFormat="1" applyFont="1" applyFill="1" applyBorder="1" applyAlignment="1">
      <alignment horizontal="right" vertical="center"/>
    </xf>
    <xf numFmtId="178" fontId="12" fillId="8" borderId="76" xfId="1" applyNumberFormat="1" applyFont="1" applyFill="1" applyBorder="1" applyAlignment="1">
      <alignment horizontal="right" vertical="center"/>
    </xf>
    <xf numFmtId="178" fontId="12" fillId="8" borderId="77" xfId="1" applyNumberFormat="1" applyFont="1" applyFill="1" applyBorder="1" applyAlignment="1">
      <alignment horizontal="right" vertical="center"/>
    </xf>
    <xf numFmtId="178" fontId="12" fillId="8" borderId="75" xfId="1" applyNumberFormat="1" applyFont="1" applyFill="1" applyBorder="1" applyAlignment="1">
      <alignment horizontal="right" vertical="center"/>
    </xf>
    <xf numFmtId="2" fontId="12" fillId="8" borderId="79" xfId="1" applyNumberFormat="1" applyFont="1" applyFill="1" applyBorder="1" applyAlignment="1">
      <alignment horizontal="right" vertical="center"/>
    </xf>
    <xf numFmtId="178" fontId="12" fillId="8" borderId="79" xfId="1" applyNumberFormat="1" applyFont="1" applyFill="1" applyBorder="1" applyAlignment="1">
      <alignment horizontal="right" vertical="center"/>
    </xf>
    <xf numFmtId="178" fontId="12" fillId="8" borderId="80" xfId="1" applyNumberFormat="1" applyFont="1" applyFill="1" applyBorder="1" applyAlignment="1">
      <alignment horizontal="right" vertical="center"/>
    </xf>
    <xf numFmtId="2" fontId="12" fillId="8" borderId="81" xfId="1" applyNumberFormat="1" applyFont="1" applyFill="1" applyBorder="1" applyAlignment="1">
      <alignment horizontal="right" vertical="center"/>
    </xf>
    <xf numFmtId="178" fontId="13" fillId="8" borderId="76" xfId="1" applyNumberFormat="1" applyFont="1" applyFill="1" applyBorder="1" applyAlignment="1">
      <alignment horizontal="right" vertical="center"/>
    </xf>
    <xf numFmtId="178" fontId="12" fillId="8" borderId="82" xfId="1" applyNumberFormat="1" applyFont="1" applyFill="1" applyBorder="1" applyAlignment="1">
      <alignment horizontal="right" vertical="center"/>
    </xf>
    <xf numFmtId="178" fontId="13" fillId="5" borderId="76" xfId="1" applyNumberFormat="1" applyFont="1" applyFill="1" applyBorder="1" applyAlignment="1">
      <alignment horizontal="right" vertical="center"/>
    </xf>
    <xf numFmtId="178" fontId="13" fillId="6" borderId="76" xfId="1" applyNumberFormat="1" applyFont="1" applyFill="1" applyBorder="1" applyAlignment="1">
      <alignment horizontal="right" vertical="center"/>
    </xf>
    <xf numFmtId="2" fontId="12" fillId="5" borderId="79" xfId="1" applyNumberFormat="1" applyFont="1" applyFill="1" applyBorder="1" applyAlignment="1">
      <alignment vertical="center"/>
    </xf>
    <xf numFmtId="0" fontId="12" fillId="5" borderId="79" xfId="1" applyFont="1" applyFill="1" applyBorder="1" applyAlignment="1">
      <alignment vertical="center"/>
    </xf>
    <xf numFmtId="0" fontId="12" fillId="5" borderId="80" xfId="1" applyFont="1" applyFill="1" applyBorder="1" applyAlignment="1">
      <alignment vertical="center"/>
    </xf>
    <xf numFmtId="2" fontId="12" fillId="5" borderId="76" xfId="1" applyNumberFormat="1" applyFont="1" applyFill="1" applyBorder="1" applyAlignment="1">
      <alignment vertical="center"/>
    </xf>
    <xf numFmtId="0" fontId="12" fillId="5" borderId="76" xfId="1" applyFont="1" applyFill="1" applyBorder="1" applyAlignment="1">
      <alignment vertical="center"/>
    </xf>
    <xf numFmtId="0" fontId="12" fillId="5" borderId="82" xfId="1" applyFont="1" applyFill="1" applyBorder="1" applyAlignment="1">
      <alignment vertical="center"/>
    </xf>
    <xf numFmtId="2" fontId="12" fillId="0" borderId="79" xfId="1" applyNumberFormat="1" applyFont="1" applyBorder="1" applyAlignment="1">
      <alignment vertical="center"/>
    </xf>
    <xf numFmtId="0" fontId="12" fillId="0" borderId="79" xfId="1" applyFont="1" applyBorder="1" applyAlignment="1">
      <alignment vertical="center"/>
    </xf>
    <xf numFmtId="0" fontId="12" fillId="0" borderId="80" xfId="1" applyFont="1" applyBorder="1" applyAlignment="1">
      <alignment vertical="center"/>
    </xf>
    <xf numFmtId="2" fontId="12" fillId="0" borderId="76" xfId="1" applyNumberFormat="1" applyFont="1" applyBorder="1" applyAlignment="1">
      <alignment vertical="center"/>
    </xf>
    <xf numFmtId="0" fontId="12" fillId="0" borderId="76" xfId="1" applyFont="1" applyBorder="1" applyAlignment="1">
      <alignment vertical="center"/>
    </xf>
    <xf numFmtId="0" fontId="12" fillId="0" borderId="82" xfId="1" applyFont="1" applyBorder="1" applyAlignment="1">
      <alignment vertical="center"/>
    </xf>
    <xf numFmtId="2" fontId="12" fillId="6" borderId="79" xfId="1" applyNumberFormat="1" applyFont="1" applyFill="1" applyBorder="1" applyAlignment="1">
      <alignment vertical="center"/>
    </xf>
    <xf numFmtId="0" fontId="12" fillId="6" borderId="79" xfId="1" applyFont="1" applyFill="1" applyBorder="1" applyAlignment="1">
      <alignment vertical="center"/>
    </xf>
    <xf numFmtId="0" fontId="12" fillId="6" borderId="80" xfId="1" applyFont="1" applyFill="1" applyBorder="1" applyAlignment="1">
      <alignment vertical="center"/>
    </xf>
    <xf numFmtId="2" fontId="12" fillId="6" borderId="76" xfId="1" applyNumberFormat="1" applyFont="1" applyFill="1" applyBorder="1" applyAlignment="1">
      <alignment vertical="center"/>
    </xf>
    <xf numFmtId="0" fontId="12" fillId="6" borderId="76" xfId="1" applyFont="1" applyFill="1" applyBorder="1" applyAlignment="1">
      <alignment vertical="center"/>
    </xf>
    <xf numFmtId="0" fontId="12" fillId="6" borderId="82" xfId="1" applyFont="1" applyFill="1" applyBorder="1" applyAlignment="1">
      <alignment vertical="center"/>
    </xf>
    <xf numFmtId="176" fontId="12" fillId="2" borderId="74" xfId="1" applyNumberFormat="1" applyFont="1" applyFill="1" applyBorder="1" applyAlignment="1">
      <alignment horizontal="center" vertical="center"/>
    </xf>
    <xf numFmtId="2" fontId="12" fillId="2" borderId="75" xfId="1" applyNumberFormat="1" applyFont="1" applyFill="1" applyBorder="1" applyAlignment="1">
      <alignment horizontal="right" vertical="center"/>
    </xf>
    <xf numFmtId="2" fontId="12" fillId="2" borderId="76" xfId="1" applyNumberFormat="1" applyFont="1" applyFill="1" applyBorder="1" applyAlignment="1">
      <alignment horizontal="right" vertical="center"/>
    </xf>
    <xf numFmtId="2" fontId="12" fillId="2" borderId="77" xfId="1" applyNumberFormat="1" applyFont="1" applyFill="1" applyBorder="1" applyAlignment="1">
      <alignment horizontal="right" vertical="center"/>
    </xf>
    <xf numFmtId="2" fontId="12" fillId="2" borderId="78" xfId="1" applyNumberFormat="1" applyFont="1" applyFill="1" applyBorder="1" applyAlignment="1">
      <alignment horizontal="right" vertical="center"/>
    </xf>
    <xf numFmtId="178" fontId="12" fillId="2" borderId="75" xfId="1" applyNumberFormat="1" applyFont="1" applyFill="1" applyBorder="1" applyAlignment="1">
      <alignment horizontal="right" vertical="center"/>
    </xf>
    <xf numFmtId="178" fontId="13" fillId="2" borderId="76" xfId="1" applyNumberFormat="1" applyFont="1" applyFill="1" applyBorder="1" applyAlignment="1">
      <alignment horizontal="right" vertical="center"/>
    </xf>
    <xf numFmtId="178" fontId="12" fillId="2" borderId="76" xfId="1" applyNumberFormat="1" applyFont="1" applyFill="1" applyBorder="1" applyAlignment="1">
      <alignment horizontal="right" vertical="center"/>
    </xf>
    <xf numFmtId="178" fontId="12" fillId="2" borderId="77" xfId="1" applyNumberFormat="1" applyFont="1" applyFill="1" applyBorder="1" applyAlignment="1">
      <alignment horizontal="right" vertical="center"/>
    </xf>
    <xf numFmtId="2" fontId="12" fillId="2" borderId="79" xfId="1" applyNumberFormat="1" applyFont="1" applyFill="1" applyBorder="1" applyAlignment="1">
      <alignment vertical="center"/>
    </xf>
    <xf numFmtId="0" fontId="12" fillId="2" borderId="79" xfId="1" applyFont="1" applyFill="1" applyBorder="1" applyAlignment="1">
      <alignment vertical="center"/>
    </xf>
    <xf numFmtId="0" fontId="12" fillId="2" borderId="80" xfId="1" applyFont="1" applyFill="1" applyBorder="1" applyAlignment="1">
      <alignment vertical="center"/>
    </xf>
    <xf numFmtId="2" fontId="12" fillId="2" borderId="81" xfId="1" applyNumberFormat="1" applyFont="1" applyFill="1" applyBorder="1" applyAlignment="1">
      <alignment horizontal="right" vertical="center"/>
    </xf>
    <xf numFmtId="2" fontId="12" fillId="2" borderId="76" xfId="1" applyNumberFormat="1" applyFont="1" applyFill="1" applyBorder="1" applyAlignment="1">
      <alignment vertical="center"/>
    </xf>
    <xf numFmtId="0" fontId="12" fillId="2" borderId="76" xfId="1" applyFont="1" applyFill="1" applyBorder="1" applyAlignment="1">
      <alignment vertical="center"/>
    </xf>
    <xf numFmtId="0" fontId="12" fillId="2" borderId="82" xfId="1" applyFont="1" applyFill="1" applyBorder="1" applyAlignment="1">
      <alignment vertical="center"/>
    </xf>
    <xf numFmtId="0" fontId="6" fillId="3" borderId="0" xfId="1" applyFont="1" applyFill="1" applyAlignment="1">
      <alignment vertical="center"/>
    </xf>
    <xf numFmtId="2" fontId="12" fillId="0" borderId="83" xfId="1" applyNumberFormat="1" applyFont="1" applyBorder="1" applyAlignment="1">
      <alignment vertical="center"/>
    </xf>
    <xf numFmtId="0" fontId="12" fillId="0" borderId="83" xfId="1" applyFont="1" applyBorder="1" applyAlignment="1">
      <alignment vertical="center"/>
    </xf>
    <xf numFmtId="0" fontId="12" fillId="0" borderId="84" xfId="1" applyFont="1" applyBorder="1" applyAlignment="1">
      <alignment vertical="center"/>
    </xf>
    <xf numFmtId="2" fontId="12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176" fontId="12" fillId="0" borderId="85" xfId="1" applyNumberFormat="1" applyFont="1" applyBorder="1" applyAlignment="1">
      <alignment horizontal="center" vertical="center"/>
    </xf>
    <xf numFmtId="2" fontId="12" fillId="0" borderId="86" xfId="1" applyNumberFormat="1" applyFont="1" applyBorder="1" applyAlignment="1">
      <alignment horizontal="right" vertical="center"/>
    </xf>
    <xf numFmtId="2" fontId="12" fillId="0" borderId="87" xfId="1" applyNumberFormat="1" applyFont="1" applyBorder="1" applyAlignment="1">
      <alignment horizontal="right" vertical="center"/>
    </xf>
    <xf numFmtId="2" fontId="12" fillId="0" borderId="88" xfId="1" applyNumberFormat="1" applyFont="1" applyBorder="1" applyAlignment="1">
      <alignment horizontal="right" vertical="center"/>
    </xf>
    <xf numFmtId="2" fontId="12" fillId="0" borderId="89" xfId="1" applyNumberFormat="1" applyFont="1" applyBorder="1" applyAlignment="1">
      <alignment horizontal="right" vertical="center"/>
    </xf>
    <xf numFmtId="178" fontId="12" fillId="0" borderId="86" xfId="1" applyNumberFormat="1" applyFont="1" applyBorder="1" applyAlignment="1">
      <alignment horizontal="right" vertical="center"/>
    </xf>
    <xf numFmtId="178" fontId="12" fillId="0" borderId="87" xfId="1" applyNumberFormat="1" applyFont="1" applyBorder="1" applyAlignment="1">
      <alignment horizontal="right" vertical="center"/>
    </xf>
    <xf numFmtId="178" fontId="13" fillId="0" borderId="87" xfId="1" applyNumberFormat="1" applyFont="1" applyBorder="1" applyAlignment="1">
      <alignment horizontal="right" vertical="center"/>
    </xf>
    <xf numFmtId="178" fontId="12" fillId="0" borderId="88" xfId="1" applyNumberFormat="1" applyFont="1" applyBorder="1" applyAlignment="1">
      <alignment horizontal="right" vertical="center"/>
    </xf>
    <xf numFmtId="0" fontId="12" fillId="0" borderId="90" xfId="1" applyFont="1" applyBorder="1" applyAlignment="1">
      <alignment vertical="center"/>
    </xf>
    <xf numFmtId="2" fontId="12" fillId="0" borderId="91" xfId="1" applyNumberFormat="1" applyFont="1" applyBorder="1" applyAlignment="1">
      <alignment horizontal="right" vertical="center"/>
    </xf>
    <xf numFmtId="2" fontId="12" fillId="0" borderId="92" xfId="1" applyNumberFormat="1" applyFont="1" applyBorder="1" applyAlignment="1">
      <alignment horizontal="right" vertical="center"/>
    </xf>
    <xf numFmtId="178" fontId="12" fillId="0" borderId="92" xfId="1" applyNumberFormat="1" applyFont="1" applyBorder="1" applyAlignment="1">
      <alignment horizontal="right" vertical="center"/>
    </xf>
    <xf numFmtId="178" fontId="13" fillId="0" borderId="92" xfId="1" applyNumberFormat="1" applyFont="1" applyBorder="1" applyAlignment="1">
      <alignment horizontal="right" vertical="center"/>
    </xf>
    <xf numFmtId="0" fontId="12" fillId="0" borderId="92" xfId="1" applyFont="1" applyBorder="1" applyAlignment="1">
      <alignment vertical="center"/>
    </xf>
    <xf numFmtId="0" fontId="12" fillId="0" borderId="93" xfId="1" applyFont="1" applyBorder="1" applyAlignment="1">
      <alignment vertical="center"/>
    </xf>
    <xf numFmtId="179" fontId="5" fillId="0" borderId="0" xfId="1" applyNumberFormat="1" applyAlignment="1">
      <alignment horizontal="center"/>
    </xf>
    <xf numFmtId="180" fontId="5" fillId="0" borderId="0" xfId="1" applyNumberFormat="1"/>
    <xf numFmtId="0" fontId="5" fillId="0" borderId="0" xfId="1"/>
    <xf numFmtId="0" fontId="15" fillId="0" borderId="95" xfId="0" applyFont="1" applyBorder="1" applyAlignment="1">
      <alignment horizontal="center" shrinkToFit="1"/>
    </xf>
    <xf numFmtId="0" fontId="15" fillId="0" borderId="83" xfId="0" applyFont="1" applyBorder="1" applyAlignment="1">
      <alignment horizontal="center" shrinkToFit="1"/>
    </xf>
    <xf numFmtId="176" fontId="15" fillId="0" borderId="96" xfId="0" applyNumberFormat="1" applyFont="1" applyBorder="1" applyAlignment="1">
      <alignment shrinkToFit="1"/>
    </xf>
    <xf numFmtId="181" fontId="15" fillId="0" borderId="96" xfId="0" applyNumberFormat="1" applyFont="1" applyBorder="1" applyAlignment="1">
      <alignment shrinkToFit="1"/>
    </xf>
    <xf numFmtId="0" fontId="0" fillId="0" borderId="96" xfId="0" applyBorder="1" applyAlignment="1">
      <alignment horizontal="center" shrinkToFit="1"/>
    </xf>
    <xf numFmtId="0" fontId="0" fillId="0" borderId="0" xfId="0" applyAlignment="1"/>
    <xf numFmtId="0" fontId="15" fillId="0" borderId="97" xfId="0" applyFont="1" applyBorder="1" applyAlignment="1">
      <alignment horizontal="center"/>
    </xf>
    <xf numFmtId="182" fontId="15" fillId="0" borderId="98" xfId="0" applyNumberFormat="1" applyFont="1" applyBorder="1" applyAlignment="1">
      <alignment horizontal="center" shrinkToFit="1"/>
    </xf>
    <xf numFmtId="0" fontId="15" fillId="0" borderId="4" xfId="0" applyFont="1" applyBorder="1" applyAlignment="1">
      <alignment shrinkToFit="1"/>
    </xf>
    <xf numFmtId="0" fontId="15" fillId="0" borderId="66" xfId="0" applyFont="1" applyBorder="1" applyAlignment="1">
      <alignment horizontal="center" shrinkToFit="1"/>
    </xf>
    <xf numFmtId="182" fontId="16" fillId="0" borderId="71" xfId="0" applyNumberFormat="1" applyFont="1" applyBorder="1" applyAlignment="1">
      <alignment shrinkToFit="1"/>
    </xf>
    <xf numFmtId="183" fontId="0" fillId="0" borderId="100" xfId="0" applyNumberFormat="1" applyBorder="1" applyAlignment="1">
      <alignment vertical="center" shrinkToFit="1"/>
    </xf>
    <xf numFmtId="0" fontId="15" fillId="0" borderId="74" xfId="0" applyFont="1" applyBorder="1" applyAlignment="1">
      <alignment horizontal="center" shrinkToFit="1"/>
    </xf>
    <xf numFmtId="182" fontId="16" fillId="0" borderId="79" xfId="0" applyNumberFormat="1" applyFont="1" applyBorder="1" applyAlignment="1">
      <alignment shrinkToFit="1"/>
    </xf>
    <xf numFmtId="183" fontId="0" fillId="0" borderId="101" xfId="0" applyNumberFormat="1" applyBorder="1" applyAlignment="1">
      <alignment vertical="center" shrinkToFit="1"/>
    </xf>
    <xf numFmtId="0" fontId="15" fillId="0" borderId="74" xfId="0" quotePrefix="1" applyFont="1" applyBorder="1" applyAlignment="1">
      <alignment horizontal="center" shrinkToFit="1"/>
    </xf>
    <xf numFmtId="182" fontId="16" fillId="0" borderId="79" xfId="0" quotePrefix="1" applyNumberFormat="1" applyFont="1" applyBorder="1" applyAlignment="1">
      <alignment shrinkToFit="1"/>
    </xf>
    <xf numFmtId="0" fontId="15" fillId="0" borderId="102" xfId="0" applyFont="1" applyBorder="1" applyAlignment="1">
      <alignment horizontal="center" shrinkToFit="1"/>
    </xf>
    <xf numFmtId="182" fontId="16" fillId="0" borderId="99" xfId="0" applyNumberFormat="1" applyFont="1" applyBorder="1" applyAlignment="1">
      <alignment shrinkToFit="1"/>
    </xf>
    <xf numFmtId="0" fontId="15" fillId="0" borderId="85" xfId="0" applyFont="1" applyBorder="1" applyAlignment="1">
      <alignment horizontal="center" shrinkToFit="1"/>
    </xf>
    <xf numFmtId="182" fontId="16" fillId="0" borderId="103" xfId="0" applyNumberFormat="1" applyFont="1" applyBorder="1" applyAlignment="1">
      <alignment shrinkToFit="1"/>
    </xf>
    <xf numFmtId="183" fontId="0" fillId="0" borderId="104" xfId="0" applyNumberFormat="1" applyBorder="1" applyAlignment="1">
      <alignment vertical="center" shrinkToFit="1"/>
    </xf>
    <xf numFmtId="0" fontId="15" fillId="0" borderId="105" xfId="0" applyFont="1" applyBorder="1" applyAlignment="1">
      <alignment horizontal="center"/>
    </xf>
    <xf numFmtId="0" fontId="15" fillId="0" borderId="107" xfId="0" applyFont="1" applyBorder="1" applyAlignment="1">
      <alignment horizontal="center" shrinkToFit="1"/>
    </xf>
    <xf numFmtId="0" fontId="15" fillId="0" borderId="108" xfId="0" applyFont="1" applyBorder="1" applyAlignment="1">
      <alignment horizontal="center" shrinkToFit="1"/>
    </xf>
    <xf numFmtId="0" fontId="15" fillId="0" borderId="108" xfId="0" quotePrefix="1" applyFont="1" applyBorder="1" applyAlignment="1">
      <alignment horizontal="center" shrinkToFit="1"/>
    </xf>
    <xf numFmtId="0" fontId="15" fillId="0" borderId="106" xfId="0" applyFont="1" applyBorder="1" applyAlignment="1">
      <alignment horizontal="center" shrinkToFit="1"/>
    </xf>
    <xf numFmtId="0" fontId="15" fillId="0" borderId="109" xfId="0" applyFont="1" applyBorder="1" applyAlignment="1">
      <alignment horizontal="center" shrinkToFit="1"/>
    </xf>
    <xf numFmtId="49" fontId="0" fillId="0" borderId="26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10" xfId="0" applyBorder="1" applyAlignment="1">
      <alignment vertical="center" shrinkToFit="1"/>
    </xf>
    <xf numFmtId="0" fontId="15" fillId="0" borderId="3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77" fontId="11" fillId="2" borderId="111" xfId="1" applyNumberFormat="1" applyFont="1" applyFill="1" applyBorder="1" applyAlignment="1">
      <alignment horizontal="center" vertical="center"/>
    </xf>
    <xf numFmtId="178" fontId="12" fillId="0" borderId="112" xfId="1" applyNumberFormat="1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49" xfId="0" applyNumberFormat="1" applyBorder="1" applyAlignment="1">
      <alignment horizontal="center" vertical="center"/>
    </xf>
    <xf numFmtId="0" fontId="0" fillId="0" borderId="115" xfId="0" applyBorder="1" applyAlignment="1">
      <alignment horizontal="right" vertical="center"/>
    </xf>
    <xf numFmtId="0" fontId="19" fillId="0" borderId="4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0" fillId="0" borderId="113" xfId="0" applyBorder="1" applyAlignment="1">
      <alignment vertical="center"/>
    </xf>
    <xf numFmtId="0" fontId="0" fillId="0" borderId="113" xfId="0" applyBorder="1" applyAlignment="1">
      <alignment horizontal="right" vertical="center"/>
    </xf>
    <xf numFmtId="0" fontId="18" fillId="0" borderId="113" xfId="0" applyFont="1" applyBorder="1" applyAlignment="1">
      <alignment vertical="center"/>
    </xf>
    <xf numFmtId="0" fontId="0" fillId="0" borderId="113" xfId="0" applyBorder="1" applyAlignment="1">
      <alignment horizontal="center" vertical="center"/>
    </xf>
    <xf numFmtId="0" fontId="22" fillId="0" borderId="126" xfId="0" applyFont="1" applyBorder="1" applyAlignment="1">
      <alignment horizontal="center" vertical="center"/>
    </xf>
    <xf numFmtId="0" fontId="24" fillId="0" borderId="126" xfId="0" applyFont="1" applyFill="1" applyBorder="1" applyAlignment="1">
      <alignment horizontal="center" vertical="center"/>
    </xf>
    <xf numFmtId="0" fontId="22" fillId="0" borderId="76" xfId="0" applyFont="1" applyBorder="1" applyAlignment="1">
      <alignment horizontal="center" vertical="center"/>
    </xf>
    <xf numFmtId="0" fontId="24" fillId="0" borderId="76" xfId="0" applyFont="1" applyFill="1" applyBorder="1" applyAlignment="1">
      <alignment horizontal="center" vertical="center"/>
    </xf>
    <xf numFmtId="0" fontId="22" fillId="0" borderId="129" xfId="0" applyFont="1" applyBorder="1" applyAlignment="1">
      <alignment horizontal="center" vertical="center"/>
    </xf>
    <xf numFmtId="176" fontId="22" fillId="0" borderId="130" xfId="0" applyNumberFormat="1" applyFont="1" applyBorder="1" applyAlignment="1">
      <alignment horizontal="center" vertical="center"/>
    </xf>
    <xf numFmtId="176" fontId="22" fillId="0" borderId="131" xfId="0" applyNumberFormat="1" applyFont="1" applyBorder="1" applyAlignment="1">
      <alignment horizontal="center" vertical="center"/>
    </xf>
    <xf numFmtId="176" fontId="22" fillId="0" borderId="127" xfId="0" applyNumberFormat="1" applyFont="1" applyBorder="1" applyAlignment="1">
      <alignment horizontal="center" vertical="center"/>
    </xf>
    <xf numFmtId="176" fontId="22" fillId="0" borderId="129" xfId="0" applyNumberFormat="1" applyFont="1" applyBorder="1" applyAlignment="1">
      <alignment horizontal="center" vertical="center"/>
    </xf>
    <xf numFmtId="176" fontId="22" fillId="0" borderId="121" xfId="0" applyNumberFormat="1" applyFont="1" applyBorder="1" applyAlignment="1">
      <alignment horizontal="center" vertical="center"/>
    </xf>
    <xf numFmtId="176" fontId="22" fillId="0" borderId="122" xfId="0" applyNumberFormat="1" applyFont="1" applyBorder="1" applyAlignment="1">
      <alignment horizontal="center" vertical="center"/>
    </xf>
    <xf numFmtId="2" fontId="22" fillId="0" borderId="121" xfId="0" applyNumberFormat="1" applyFont="1" applyBorder="1" applyAlignment="1">
      <alignment horizontal="center" vertical="center"/>
    </xf>
    <xf numFmtId="2" fontId="22" fillId="0" borderId="122" xfId="0" applyNumberFormat="1" applyFont="1" applyBorder="1" applyAlignment="1">
      <alignment horizontal="center" vertical="center"/>
    </xf>
    <xf numFmtId="0" fontId="19" fillId="0" borderId="140" xfId="0" applyFont="1" applyBorder="1" applyAlignment="1">
      <alignment vertical="center" shrinkToFit="1"/>
    </xf>
    <xf numFmtId="0" fontId="19" fillId="0" borderId="42" xfId="0" applyFont="1" applyBorder="1" applyAlignment="1">
      <alignment horizontal="center" vertical="center" shrinkToFit="1"/>
    </xf>
    <xf numFmtId="0" fontId="19" fillId="0" borderId="141" xfId="0" applyFont="1" applyBorder="1" applyAlignment="1">
      <alignment horizontal="center" vertical="center"/>
    </xf>
    <xf numFmtId="0" fontId="19" fillId="0" borderId="142" xfId="0" applyFont="1" applyBorder="1" applyAlignment="1">
      <alignment horizontal="center" vertical="center" shrinkToFit="1"/>
    </xf>
    <xf numFmtId="0" fontId="19" fillId="0" borderId="143" xfId="0" applyFont="1" applyBorder="1" applyAlignment="1">
      <alignment horizontal="center" vertical="center" shrinkToFit="1"/>
    </xf>
    <xf numFmtId="0" fontId="19" fillId="0" borderId="144" xfId="0" applyFont="1" applyBorder="1" applyAlignment="1">
      <alignment horizontal="center" vertical="center"/>
    </xf>
    <xf numFmtId="2" fontId="22" fillId="0" borderId="131" xfId="0" applyNumberFormat="1" applyFont="1" applyBorder="1" applyAlignment="1">
      <alignment horizontal="center" vertical="center"/>
    </xf>
    <xf numFmtId="0" fontId="22" fillId="0" borderId="78" xfId="0" applyFont="1" applyBorder="1" applyAlignment="1">
      <alignment horizontal="center" vertical="center"/>
    </xf>
    <xf numFmtId="2" fontId="22" fillId="0" borderId="120" xfId="0" applyNumberFormat="1" applyFont="1" applyBorder="1" applyAlignment="1">
      <alignment horizontal="center" vertical="center"/>
    </xf>
    <xf numFmtId="2" fontId="22" fillId="0" borderId="53" xfId="0" applyNumberFormat="1" applyFont="1" applyBorder="1" applyAlignment="1">
      <alignment horizontal="center" vertical="center"/>
    </xf>
    <xf numFmtId="0" fontId="22" fillId="0" borderId="111" xfId="0" applyFont="1" applyBorder="1" applyAlignment="1">
      <alignment horizontal="center" vertical="center"/>
    </xf>
    <xf numFmtId="2" fontId="22" fillId="0" borderId="145" xfId="0" applyNumberFormat="1" applyFont="1" applyBorder="1" applyAlignment="1">
      <alignment horizontal="center" vertical="center"/>
    </xf>
    <xf numFmtId="0" fontId="25" fillId="0" borderId="111" xfId="0" applyFont="1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84" fontId="22" fillId="0" borderId="123" xfId="0" applyNumberFormat="1" applyFont="1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2" fillId="0" borderId="126" xfId="0" applyNumberFormat="1" applyFont="1" applyBorder="1" applyAlignment="1">
      <alignment horizontal="center" vertical="center"/>
    </xf>
    <xf numFmtId="2" fontId="22" fillId="0" borderId="7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0" xfId="0" applyBorder="1" applyAlignment="1">
      <alignment horizontal="center" vertical="center"/>
    </xf>
    <xf numFmtId="184" fontId="26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30" fillId="0" borderId="0" xfId="0" applyFont="1" applyAlignment="1">
      <alignment horizontal="center" vertical="center"/>
    </xf>
    <xf numFmtId="0" fontId="19" fillId="0" borderId="151" xfId="0" applyFont="1" applyBorder="1" applyAlignment="1">
      <alignment vertical="center" shrinkToFit="1"/>
    </xf>
    <xf numFmtId="49" fontId="0" fillId="0" borderId="19" xfId="0" applyNumberFormat="1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0" fillId="0" borderId="153" xfId="0" applyBorder="1" applyAlignment="1">
      <alignment horizontal="center" vertical="center"/>
    </xf>
    <xf numFmtId="49" fontId="31" fillId="0" borderId="0" xfId="0" applyNumberFormat="1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33" fillId="0" borderId="154" xfId="0" applyNumberFormat="1" applyFont="1" applyBorder="1" applyAlignment="1">
      <alignment horizontal="right" vertical="center"/>
    </xf>
    <xf numFmtId="178" fontId="34" fillId="0" borderId="155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2" fontId="6" fillId="0" borderId="76" xfId="0" applyNumberFormat="1" applyFont="1" applyBorder="1" applyAlignment="1">
      <alignment horizontal="right" vertical="center"/>
    </xf>
    <xf numFmtId="2" fontId="34" fillId="0" borderId="76" xfId="0" applyNumberFormat="1" applyFont="1" applyBorder="1" applyAlignment="1">
      <alignment horizontal="right" vertical="center"/>
    </xf>
    <xf numFmtId="0" fontId="19" fillId="0" borderId="142" xfId="0" applyFont="1" applyBorder="1" applyAlignment="1">
      <alignment horizontal="center" vertical="center" shrinkToFit="1"/>
    </xf>
    <xf numFmtId="0" fontId="19" fillId="0" borderId="143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4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7" xfId="0" applyBorder="1" applyAlignment="1">
      <alignment vertical="center"/>
    </xf>
    <xf numFmtId="0" fontId="0" fillId="0" borderId="158" xfId="0" applyBorder="1" applyAlignment="1">
      <alignment vertical="center"/>
    </xf>
    <xf numFmtId="0" fontId="22" fillId="3" borderId="128" xfId="0" applyFont="1" applyFill="1" applyBorder="1" applyAlignment="1">
      <alignment horizontal="center" vertical="center"/>
    </xf>
    <xf numFmtId="0" fontId="22" fillId="3" borderId="76" xfId="0" applyFont="1" applyFill="1" applyBorder="1" applyAlignment="1">
      <alignment horizontal="center" vertical="center"/>
    </xf>
    <xf numFmtId="176" fontId="22" fillId="3" borderId="76" xfId="0" applyNumberFormat="1" applyFont="1" applyFill="1" applyBorder="1" applyAlignment="1">
      <alignment horizontal="center" vertical="center"/>
    </xf>
    <xf numFmtId="2" fontId="22" fillId="3" borderId="76" xfId="0" applyNumberFormat="1" applyFont="1" applyFill="1" applyBorder="1" applyAlignment="1">
      <alignment horizontal="center" vertical="center"/>
    </xf>
    <xf numFmtId="0" fontId="24" fillId="3" borderId="76" xfId="0" applyFont="1" applyFill="1" applyBorder="1" applyAlignment="1">
      <alignment horizontal="center" vertical="center"/>
    </xf>
    <xf numFmtId="2" fontId="22" fillId="3" borderId="129" xfId="0" applyNumberFormat="1" applyFont="1" applyFill="1" applyBorder="1" applyAlignment="1">
      <alignment horizontal="center" vertical="center"/>
    </xf>
    <xf numFmtId="184" fontId="22" fillId="3" borderId="124" xfId="0" applyNumberFormat="1" applyFont="1" applyFill="1" applyBorder="1" applyAlignment="1">
      <alignment horizontal="center" vertical="center"/>
    </xf>
    <xf numFmtId="0" fontId="35" fillId="0" borderId="156" xfId="0" applyFont="1" applyBorder="1" applyAlignment="1">
      <alignment horizontal="center" vertical="center"/>
    </xf>
    <xf numFmtId="0" fontId="25" fillId="0" borderId="156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2" fillId="0" borderId="156" xfId="0" applyFont="1" applyBorder="1" applyAlignment="1">
      <alignment horizontal="center" vertical="center"/>
    </xf>
    <xf numFmtId="2" fontId="22" fillId="0" borderId="156" xfId="0" applyNumberFormat="1" applyFont="1" applyBorder="1" applyAlignment="1">
      <alignment horizontal="center" vertical="center"/>
    </xf>
    <xf numFmtId="0" fontId="22" fillId="0" borderId="156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36" fillId="0" borderId="156" xfId="0" applyFont="1" applyBorder="1" applyAlignment="1">
      <alignment horizontal="center" vertical="center"/>
    </xf>
    <xf numFmtId="184" fontId="37" fillId="0" borderId="123" xfId="0" applyNumberFormat="1" applyFont="1" applyBorder="1" applyAlignment="1">
      <alignment horizontal="center" vertical="center"/>
    </xf>
    <xf numFmtId="185" fontId="22" fillId="0" borderId="156" xfId="0" applyNumberFormat="1" applyFont="1" applyBorder="1" applyAlignment="1">
      <alignment horizontal="center" vertical="center"/>
    </xf>
    <xf numFmtId="185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0" fontId="35" fillId="0" borderId="156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44" xfId="0" applyFont="1" applyBorder="1" applyAlignment="1">
      <alignment vertical="center"/>
    </xf>
    <xf numFmtId="0" fontId="35" fillId="0" borderId="157" xfId="0" applyFont="1" applyBorder="1" applyAlignment="1">
      <alignment vertical="center"/>
    </xf>
    <xf numFmtId="0" fontId="35" fillId="0" borderId="158" xfId="0" applyFont="1" applyBorder="1" applyAlignment="1">
      <alignment vertical="center"/>
    </xf>
    <xf numFmtId="182" fontId="35" fillId="0" borderId="0" xfId="0" applyNumberFormat="1" applyFont="1" applyBorder="1" applyAlignment="1">
      <alignment horizontal="center" vertical="center"/>
    </xf>
    <xf numFmtId="0" fontId="41" fillId="10" borderId="0" xfId="0" applyFont="1" applyFill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186" fontId="22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4" fillId="0" borderId="0" xfId="0" applyFont="1" applyAlignment="1">
      <alignment vertical="center" wrapText="1"/>
    </xf>
    <xf numFmtId="0" fontId="44" fillId="0" borderId="0" xfId="0" applyFont="1" applyAlignment="1">
      <alignment horizontal="center" vertical="center"/>
    </xf>
    <xf numFmtId="0" fontId="47" fillId="0" borderId="0" xfId="0" applyFont="1">
      <alignment vertical="center"/>
    </xf>
    <xf numFmtId="0" fontId="47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distributed" vertical="center"/>
    </xf>
    <xf numFmtId="0" fontId="20" fillId="0" borderId="0" xfId="0" applyFont="1" applyBorder="1" applyAlignment="1">
      <alignment horizontal="distributed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142" xfId="0" applyFont="1" applyBorder="1" applyAlignment="1">
      <alignment horizontal="center" vertical="center" shrinkToFit="1"/>
    </xf>
    <xf numFmtId="0" fontId="19" fillId="0" borderId="143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42" xfId="0" applyFont="1" applyBorder="1" applyAlignment="1">
      <alignment horizontal="center" vertical="center" shrinkToFit="1"/>
    </xf>
    <xf numFmtId="0" fontId="15" fillId="0" borderId="116" xfId="0" applyFont="1" applyBorder="1" applyAlignment="1">
      <alignment horizontal="center" shrinkToFit="1"/>
    </xf>
    <xf numFmtId="0" fontId="28" fillId="0" borderId="129" xfId="0" applyFont="1" applyBorder="1" applyAlignment="1">
      <alignment horizontal="center" vertical="center"/>
    </xf>
    <xf numFmtId="0" fontId="22" fillId="0" borderId="125" xfId="0" applyFont="1" applyFill="1" applyBorder="1" applyAlignment="1">
      <alignment horizontal="center" vertical="center"/>
    </xf>
    <xf numFmtId="1" fontId="22" fillId="0" borderId="130" xfId="0" applyNumberFormat="1" applyFont="1" applyFill="1" applyBorder="1" applyAlignment="1">
      <alignment horizontal="center" vertical="center"/>
    </xf>
    <xf numFmtId="0" fontId="22" fillId="0" borderId="126" xfId="0" applyFont="1" applyFill="1" applyBorder="1" applyAlignment="1">
      <alignment horizontal="center" vertical="center"/>
    </xf>
    <xf numFmtId="0" fontId="28" fillId="0" borderId="127" xfId="0" applyFont="1" applyFill="1" applyBorder="1" applyAlignment="1">
      <alignment horizontal="center" vertical="center"/>
    </xf>
    <xf numFmtId="0" fontId="22" fillId="0" borderId="132" xfId="0" applyFont="1" applyFill="1" applyBorder="1" applyAlignment="1">
      <alignment horizontal="center" vertical="center"/>
    </xf>
    <xf numFmtId="176" fontId="22" fillId="0" borderId="130" xfId="0" applyNumberFormat="1" applyFont="1" applyFill="1" applyBorder="1" applyAlignment="1">
      <alignment horizontal="center" vertical="center"/>
    </xf>
    <xf numFmtId="176" fontId="22" fillId="0" borderId="127" xfId="0" applyNumberFormat="1" applyFont="1" applyFill="1" applyBorder="1" applyAlignment="1">
      <alignment horizontal="center" vertical="center"/>
    </xf>
    <xf numFmtId="176" fontId="22" fillId="0" borderId="133" xfId="0" applyNumberFormat="1" applyFont="1" applyFill="1" applyBorder="1" applyAlignment="1">
      <alignment horizontal="center" vertical="center"/>
    </xf>
    <xf numFmtId="176" fontId="22" fillId="0" borderId="121" xfId="0" applyNumberFormat="1" applyFont="1" applyFill="1" applyBorder="1" applyAlignment="1">
      <alignment horizontal="center" vertical="center"/>
    </xf>
    <xf numFmtId="2" fontId="22" fillId="0" borderId="132" xfId="0" applyNumberFormat="1" applyFont="1" applyFill="1" applyBorder="1" applyAlignment="1">
      <alignment horizontal="center" vertical="center"/>
    </xf>
    <xf numFmtId="2" fontId="22" fillId="0" borderId="126" xfId="0" applyNumberFormat="1" applyFont="1" applyFill="1" applyBorder="1" applyAlignment="1">
      <alignment horizontal="center" vertical="center"/>
    </xf>
    <xf numFmtId="2" fontId="22" fillId="0" borderId="13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9" borderId="126" xfId="0" applyFont="1" applyFill="1" applyBorder="1" applyAlignment="1" applyProtection="1">
      <alignment horizontal="center" vertical="center" shrinkToFit="1"/>
      <protection locked="0"/>
    </xf>
    <xf numFmtId="0" fontId="22" fillId="9" borderId="76" xfId="0" applyFont="1" applyFill="1" applyBorder="1" applyAlignment="1" applyProtection="1">
      <alignment horizontal="center" vertical="center" shrinkToFit="1"/>
      <protection locked="0"/>
    </xf>
    <xf numFmtId="0" fontId="22" fillId="9" borderId="125" xfId="0" applyFont="1" applyFill="1" applyBorder="1" applyAlignment="1" applyProtection="1">
      <alignment horizontal="center" vertical="center"/>
      <protection locked="0"/>
    </xf>
    <xf numFmtId="0" fontId="22" fillId="9" borderId="128" xfId="0" applyFont="1" applyFill="1" applyBorder="1" applyAlignment="1" applyProtection="1">
      <alignment horizontal="center" vertical="center"/>
      <protection locked="0"/>
    </xf>
    <xf numFmtId="0" fontId="22" fillId="9" borderId="132" xfId="0" applyFont="1" applyFill="1" applyBorder="1" applyAlignment="1" applyProtection="1">
      <alignment horizontal="center" vertical="center"/>
      <protection locked="0"/>
    </xf>
    <xf numFmtId="0" fontId="22" fillId="9" borderId="120" xfId="0" applyFont="1" applyFill="1" applyBorder="1" applyAlignment="1" applyProtection="1">
      <alignment horizontal="center" vertical="center"/>
      <protection locked="0"/>
    </xf>
    <xf numFmtId="176" fontId="22" fillId="9" borderId="133" xfId="0" applyNumberFormat="1" applyFont="1" applyFill="1" applyBorder="1" applyAlignment="1" applyProtection="1">
      <alignment horizontal="center" vertical="center"/>
      <protection locked="0"/>
    </xf>
    <xf numFmtId="176" fontId="22" fillId="9" borderId="78" xfId="0" applyNumberFormat="1" applyFont="1" applyFill="1" applyBorder="1" applyAlignment="1" applyProtection="1">
      <alignment horizontal="center" vertical="center"/>
      <protection locked="0"/>
    </xf>
    <xf numFmtId="2" fontId="22" fillId="0" borderId="132" xfId="0" applyNumberFormat="1" applyFont="1" applyBorder="1" applyAlignment="1" applyProtection="1">
      <alignment horizontal="center" vertical="center"/>
      <protection locked="0"/>
    </xf>
    <xf numFmtId="2" fontId="22" fillId="0" borderId="120" xfId="0" applyNumberFormat="1" applyFont="1" applyBorder="1" applyAlignment="1" applyProtection="1">
      <alignment horizontal="center" vertical="center"/>
      <protection locked="0"/>
    </xf>
    <xf numFmtId="2" fontId="22" fillId="9" borderId="130" xfId="0" applyNumberFormat="1" applyFont="1" applyFill="1" applyBorder="1" applyAlignment="1" applyProtection="1">
      <alignment horizontal="center" vertical="center"/>
      <protection locked="0"/>
    </xf>
    <xf numFmtId="2" fontId="22" fillId="9" borderId="131" xfId="0" applyNumberFormat="1" applyFont="1" applyFill="1" applyBorder="1" applyAlignment="1" applyProtection="1">
      <alignment horizontal="center" vertical="center"/>
      <protection locked="0"/>
    </xf>
    <xf numFmtId="2" fontId="22" fillId="9" borderId="124" xfId="0" applyNumberFormat="1" applyFont="1" applyFill="1" applyBorder="1" applyAlignment="1" applyProtection="1">
      <alignment horizontal="center" vertical="center"/>
      <protection locked="0"/>
    </xf>
    <xf numFmtId="184" fontId="22" fillId="9" borderId="122" xfId="0" applyNumberFormat="1" applyFont="1" applyFill="1" applyBorder="1" applyAlignment="1" applyProtection="1">
      <alignment horizontal="center" vertical="center"/>
      <protection locked="0"/>
    </xf>
    <xf numFmtId="0" fontId="26" fillId="9" borderId="113" xfId="0" applyFont="1" applyFill="1" applyBorder="1" applyAlignment="1" applyProtection="1">
      <alignment horizontal="center" vertical="center"/>
      <protection locked="0"/>
    </xf>
    <xf numFmtId="0" fontId="22" fillId="9" borderId="0" xfId="0" applyFont="1" applyFill="1" applyBorder="1" applyAlignment="1" applyProtection="1">
      <alignment vertical="center"/>
      <protection locked="0"/>
    </xf>
    <xf numFmtId="0" fontId="27" fillId="9" borderId="76" xfId="0" applyFont="1" applyFill="1" applyBorder="1" applyAlignment="1" applyProtection="1">
      <alignment horizontal="center" vertical="center" shrinkToFit="1"/>
      <protection locked="0"/>
    </xf>
    <xf numFmtId="0" fontId="47" fillId="0" borderId="0" xfId="0" applyFont="1" applyProtection="1">
      <alignment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0" fillId="0" borderId="4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116" xfId="0" applyBorder="1">
      <alignment vertical="center"/>
    </xf>
    <xf numFmtId="0" fontId="0" fillId="0" borderId="26" xfId="0" applyBorder="1">
      <alignment vertical="center"/>
    </xf>
    <xf numFmtId="1" fontId="22" fillId="9" borderId="130" xfId="0" applyNumberFormat="1" applyFont="1" applyFill="1" applyBorder="1" applyAlignment="1" applyProtection="1">
      <alignment horizontal="center" vertical="center" shrinkToFit="1"/>
      <protection locked="0"/>
    </xf>
    <xf numFmtId="1" fontId="22" fillId="9" borderId="131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126" xfId="0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49" fontId="42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right" vertical="center"/>
    </xf>
    <xf numFmtId="0" fontId="0" fillId="0" borderId="163" xfId="0" applyBorder="1" applyAlignment="1">
      <alignment horizontal="center" vertical="center"/>
    </xf>
    <xf numFmtId="0" fontId="0" fillId="0" borderId="164" xfId="0" applyBorder="1" applyAlignment="1">
      <alignment horizontal="center" vertical="center"/>
    </xf>
    <xf numFmtId="0" fontId="0" fillId="0" borderId="165" xfId="0" applyBorder="1" applyAlignment="1">
      <alignment horizontal="center" vertical="center"/>
    </xf>
    <xf numFmtId="0" fontId="0" fillId="0" borderId="166" xfId="0" applyBorder="1" applyAlignment="1">
      <alignment horizontal="center" vertical="center"/>
    </xf>
    <xf numFmtId="0" fontId="0" fillId="0" borderId="169" xfId="0" applyBorder="1">
      <alignment vertical="center"/>
    </xf>
    <xf numFmtId="0" fontId="0" fillId="0" borderId="167" xfId="0" applyBorder="1" applyAlignment="1">
      <alignment horizontal="center" vertical="center"/>
    </xf>
    <xf numFmtId="0" fontId="0" fillId="0" borderId="168" xfId="0" applyBorder="1" applyAlignment="1">
      <alignment horizontal="center" vertical="center"/>
    </xf>
    <xf numFmtId="0" fontId="0" fillId="0" borderId="151" xfId="0" applyBorder="1" applyAlignment="1">
      <alignment horizontal="center" vertical="center"/>
    </xf>
    <xf numFmtId="49" fontId="0" fillId="0" borderId="0" xfId="0" quotePrefix="1" applyNumberFormat="1">
      <alignment vertical="center"/>
    </xf>
    <xf numFmtId="0" fontId="22" fillId="0" borderId="127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44" fillId="0" borderId="0" xfId="0" applyFont="1" applyAlignment="1">
      <alignment horizontal="right" vertical="center" wrapText="1"/>
    </xf>
    <xf numFmtId="187" fontId="45" fillId="9" borderId="2" xfId="0" applyNumberFormat="1" applyFont="1" applyFill="1" applyBorder="1" applyAlignment="1" applyProtection="1">
      <alignment horizontal="center" vertical="center"/>
      <protection locked="0"/>
    </xf>
    <xf numFmtId="187" fontId="45" fillId="9" borderId="4" xfId="0" applyNumberFormat="1" applyFont="1" applyFill="1" applyBorder="1" applyAlignment="1" applyProtection="1">
      <alignment horizontal="center" vertical="center"/>
      <protection locked="0"/>
    </xf>
    <xf numFmtId="187" fontId="45" fillId="9" borderId="7" xfId="0" applyNumberFormat="1" applyFont="1" applyFill="1" applyBorder="1" applyAlignment="1" applyProtection="1">
      <alignment horizontal="center" vertical="center"/>
      <protection locked="0"/>
    </xf>
    <xf numFmtId="187" fontId="45" fillId="9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142" xfId="0" applyFont="1" applyBorder="1" applyAlignment="1">
      <alignment horizontal="center" vertical="center" shrinkToFit="1"/>
    </xf>
    <xf numFmtId="0" fontId="19" fillId="0" borderId="143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/>
    </xf>
    <xf numFmtId="0" fontId="14" fillId="0" borderId="9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0" fillId="0" borderId="4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19" fillId="0" borderId="140" xfId="0" applyFont="1" applyBorder="1" applyAlignment="1">
      <alignment horizontal="center" vertical="center" shrinkToFit="1"/>
    </xf>
    <xf numFmtId="0" fontId="19" fillId="0" borderId="42" xfId="0" applyFont="1" applyBorder="1" applyAlignment="1">
      <alignment horizontal="center" vertical="center" shrinkToFit="1"/>
    </xf>
    <xf numFmtId="0" fontId="46" fillId="0" borderId="5" xfId="0" applyFont="1" applyBorder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44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distributed" vertical="center"/>
    </xf>
    <xf numFmtId="0" fontId="0" fillId="9" borderId="19" xfId="0" applyFill="1" applyBorder="1" applyAlignment="1" applyProtection="1">
      <alignment horizontal="center" vertical="center"/>
      <protection locked="0"/>
    </xf>
    <xf numFmtId="0" fontId="50" fillId="9" borderId="19" xfId="0" applyFont="1" applyFill="1" applyBorder="1" applyAlignment="1" applyProtection="1">
      <alignment horizontal="center" vertical="center"/>
      <protection locked="0"/>
    </xf>
    <xf numFmtId="0" fontId="21" fillId="0" borderId="19" xfId="0" applyFont="1" applyBorder="1" applyAlignment="1">
      <alignment horizontal="distributed" vertical="center"/>
    </xf>
    <xf numFmtId="0" fontId="0" fillId="0" borderId="49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8" fillId="0" borderId="118" xfId="0" applyFont="1" applyBorder="1" applyAlignment="1">
      <alignment horizontal="center" vertical="center"/>
    </xf>
    <xf numFmtId="0" fontId="28" fillId="0" borderId="119" xfId="0" applyFont="1" applyBorder="1" applyAlignment="1">
      <alignment horizontal="center" vertical="center"/>
    </xf>
    <xf numFmtId="0" fontId="28" fillId="0" borderId="146" xfId="0" applyFont="1" applyBorder="1" applyAlignment="1">
      <alignment horizontal="center" vertical="center"/>
    </xf>
    <xf numFmtId="0" fontId="17" fillId="0" borderId="56" xfId="0" applyFont="1" applyBorder="1" applyAlignment="1">
      <alignment horizontal="right" vertical="center"/>
    </xf>
    <xf numFmtId="0" fontId="19" fillId="0" borderId="156" xfId="0" applyFont="1" applyBorder="1" applyAlignment="1">
      <alignment horizontal="right" vertical="center"/>
    </xf>
    <xf numFmtId="0" fontId="19" fillId="0" borderId="44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9" fillId="0" borderId="6" xfId="0" applyFont="1" applyBorder="1" applyAlignment="1">
      <alignment horizontal="right" vertical="center"/>
    </xf>
    <xf numFmtId="0" fontId="31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49" fontId="42" fillId="9" borderId="49" xfId="0" applyNumberFormat="1" applyFont="1" applyFill="1" applyBorder="1" applyAlignment="1" applyProtection="1">
      <alignment horizontal="center" vertical="center"/>
      <protection locked="0"/>
    </xf>
    <xf numFmtId="49" fontId="42" fillId="9" borderId="116" xfId="0" applyNumberFormat="1" applyFont="1" applyFill="1" applyBorder="1" applyAlignment="1" applyProtection="1">
      <alignment horizontal="center" vertical="center"/>
      <protection locked="0"/>
    </xf>
    <xf numFmtId="49" fontId="42" fillId="9" borderId="26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Alignment="1">
      <alignment horizontal="left" vertical="center" wrapText="1"/>
    </xf>
    <xf numFmtId="0" fontId="28" fillId="3" borderId="147" xfId="0" applyFont="1" applyFill="1" applyBorder="1" applyAlignment="1">
      <alignment horizontal="center" vertical="center"/>
    </xf>
    <xf numFmtId="0" fontId="28" fillId="3" borderId="78" xfId="0" applyFont="1" applyFill="1" applyBorder="1" applyAlignment="1">
      <alignment horizontal="center" vertical="center"/>
    </xf>
    <xf numFmtId="0" fontId="28" fillId="3" borderId="159" xfId="0" applyFont="1" applyFill="1" applyBorder="1" applyAlignment="1">
      <alignment horizontal="center" vertical="center"/>
    </xf>
    <xf numFmtId="0" fontId="28" fillId="0" borderId="117" xfId="0" applyFont="1" applyBorder="1" applyAlignment="1">
      <alignment horizontal="center" vertical="center"/>
    </xf>
    <xf numFmtId="0" fontId="28" fillId="0" borderId="79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17" fillId="9" borderId="34" xfId="0" applyFont="1" applyFill="1" applyBorder="1" applyAlignment="1" applyProtection="1">
      <alignment horizontal="left" vertical="top" wrapText="1"/>
      <protection locked="0"/>
    </xf>
    <xf numFmtId="0" fontId="17" fillId="9" borderId="94" xfId="0" applyFont="1" applyFill="1" applyBorder="1" applyAlignment="1" applyProtection="1">
      <alignment horizontal="left" vertical="top" wrapText="1"/>
      <protection locked="0"/>
    </xf>
    <xf numFmtId="0" fontId="17" fillId="9" borderId="35" xfId="0" applyFont="1" applyFill="1" applyBorder="1" applyAlignment="1" applyProtection="1">
      <alignment horizontal="left" vertical="top" wrapText="1"/>
      <protection locked="0"/>
    </xf>
    <xf numFmtId="0" fontId="19" fillId="0" borderId="134" xfId="0" applyFont="1" applyBorder="1" applyAlignment="1">
      <alignment horizontal="center" vertical="center" shrinkToFit="1"/>
    </xf>
    <xf numFmtId="0" fontId="19" fillId="0" borderId="135" xfId="0" applyFont="1" applyBorder="1" applyAlignment="1">
      <alignment horizontal="center" vertical="center" shrinkToFit="1"/>
    </xf>
    <xf numFmtId="0" fontId="19" fillId="0" borderId="136" xfId="0" applyFont="1" applyBorder="1" applyAlignment="1">
      <alignment horizontal="center" vertical="center" shrinkToFit="1"/>
    </xf>
    <xf numFmtId="0" fontId="19" fillId="0" borderId="137" xfId="0" applyFont="1" applyBorder="1" applyAlignment="1">
      <alignment horizontal="center" vertical="center" shrinkToFit="1"/>
    </xf>
    <xf numFmtId="0" fontId="19" fillId="0" borderId="138" xfId="0" applyFont="1" applyBorder="1" applyAlignment="1">
      <alignment horizontal="center" vertical="center" shrinkToFit="1"/>
    </xf>
    <xf numFmtId="0" fontId="19" fillId="0" borderId="139" xfId="0" applyFont="1" applyBorder="1" applyAlignment="1">
      <alignment horizontal="center" vertical="center" shrinkToFit="1"/>
    </xf>
    <xf numFmtId="0" fontId="20" fillId="0" borderId="147" xfId="0" applyFont="1" applyBorder="1" applyAlignment="1">
      <alignment horizontal="center" vertical="center"/>
    </xf>
    <xf numFmtId="0" fontId="20" fillId="0" borderId="120" xfId="0" applyFont="1" applyBorder="1" applyAlignment="1">
      <alignment horizontal="center" vertical="center"/>
    </xf>
    <xf numFmtId="0" fontId="20" fillId="0" borderId="162" xfId="0" applyFont="1" applyBorder="1" applyAlignment="1">
      <alignment horizontal="center" vertical="center"/>
    </xf>
    <xf numFmtId="0" fontId="20" fillId="0" borderId="145" xfId="0" applyFont="1" applyBorder="1" applyAlignment="1">
      <alignment horizontal="center" vertical="center"/>
    </xf>
    <xf numFmtId="0" fontId="0" fillId="9" borderId="147" xfId="0" applyFill="1" applyBorder="1" applyAlignment="1" applyProtection="1">
      <alignment horizontal="left" vertical="center"/>
      <protection locked="0"/>
    </xf>
    <xf numFmtId="0" fontId="0" fillId="9" borderId="78" xfId="0" applyFill="1" applyBorder="1" applyAlignment="1" applyProtection="1">
      <alignment horizontal="left" vertical="center"/>
      <protection locked="0"/>
    </xf>
    <xf numFmtId="0" fontId="0" fillId="9" borderId="159" xfId="0" applyFill="1" applyBorder="1" applyAlignment="1" applyProtection="1">
      <alignment horizontal="left" vertical="center"/>
      <protection locked="0"/>
    </xf>
    <xf numFmtId="184" fontId="22" fillId="0" borderId="156" xfId="0" applyNumberFormat="1" applyFont="1" applyBorder="1" applyAlignment="1">
      <alignment horizontal="right" vertical="center"/>
    </xf>
    <xf numFmtId="2" fontId="22" fillId="0" borderId="156" xfId="0" applyNumberFormat="1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50" fillId="0" borderId="19" xfId="0" applyFont="1" applyBorder="1" applyAlignment="1" applyProtection="1">
      <alignment horizontal="center" vertical="center"/>
      <protection locked="0"/>
    </xf>
    <xf numFmtId="0" fontId="0" fillId="3" borderId="19" xfId="0" applyFill="1" applyBorder="1" applyAlignment="1">
      <alignment horizontal="center" vertical="center"/>
    </xf>
    <xf numFmtId="0" fontId="21" fillId="9" borderId="160" xfId="0" applyFont="1" applyFill="1" applyBorder="1" applyAlignment="1" applyProtection="1">
      <alignment horizontal="center" vertical="center"/>
      <protection locked="0"/>
    </xf>
    <xf numFmtId="0" fontId="21" fillId="9" borderId="113" xfId="0" applyFont="1" applyFill="1" applyBorder="1" applyAlignment="1" applyProtection="1">
      <alignment horizontal="center" vertical="center"/>
      <protection locked="0"/>
    </xf>
    <xf numFmtId="0" fontId="21" fillId="9" borderId="161" xfId="0" applyFont="1" applyFill="1" applyBorder="1" applyAlignment="1" applyProtection="1">
      <alignment horizontal="center" vertical="center"/>
      <protection locked="0"/>
    </xf>
    <xf numFmtId="0" fontId="21" fillId="0" borderId="118" xfId="0" applyFont="1" applyBorder="1" applyAlignment="1">
      <alignment horizontal="center" vertical="center"/>
    </xf>
    <xf numFmtId="0" fontId="21" fillId="0" borderId="119" xfId="0" applyFont="1" applyBorder="1" applyAlignment="1">
      <alignment horizontal="center" vertical="center"/>
    </xf>
    <xf numFmtId="0" fontId="21" fillId="0" borderId="146" xfId="0" applyFont="1" applyBorder="1" applyAlignment="1">
      <alignment horizontal="center" vertical="center"/>
    </xf>
    <xf numFmtId="0" fontId="19" fillId="0" borderId="8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35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right" vertical="center"/>
    </xf>
    <xf numFmtId="0" fontId="35" fillId="0" borderId="0" xfId="0" applyFont="1" applyBorder="1" applyAlignment="1">
      <alignment horizontal="right" vertical="center"/>
    </xf>
    <xf numFmtId="0" fontId="49" fillId="0" borderId="156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8" fillId="0" borderId="156" xfId="0" applyFont="1" applyBorder="1" applyAlignment="1">
      <alignment horizontal="left" vertical="center" wrapText="1"/>
    </xf>
    <xf numFmtId="0" fontId="48" fillId="0" borderId="0" xfId="0" applyFont="1" applyBorder="1" applyAlignment="1">
      <alignment horizontal="left" vertical="center" wrapText="1"/>
    </xf>
    <xf numFmtId="187" fontId="45" fillId="0" borderId="2" xfId="0" applyNumberFormat="1" applyFont="1" applyBorder="1" applyAlignment="1" applyProtection="1">
      <alignment horizontal="center" vertical="center"/>
      <protection locked="0"/>
    </xf>
    <xf numFmtId="187" fontId="45" fillId="0" borderId="4" xfId="0" applyNumberFormat="1" applyFont="1" applyBorder="1" applyAlignment="1" applyProtection="1">
      <alignment horizontal="center" vertical="center"/>
      <protection locked="0"/>
    </xf>
    <xf numFmtId="187" fontId="45" fillId="0" borderId="7" xfId="0" applyNumberFormat="1" applyFont="1" applyBorder="1" applyAlignment="1" applyProtection="1">
      <alignment horizontal="center" vertical="center"/>
      <protection locked="0"/>
    </xf>
    <xf numFmtId="187" fontId="45" fillId="0" borderId="9" xfId="0" applyNumberFormat="1" applyFont="1" applyBorder="1" applyAlignment="1" applyProtection="1">
      <alignment horizontal="center" vertical="center"/>
      <protection locked="0"/>
    </xf>
    <xf numFmtId="0" fontId="35" fillId="0" borderId="56" xfId="0" applyFont="1" applyBorder="1" applyAlignment="1">
      <alignment horizontal="right" vertical="center"/>
    </xf>
    <xf numFmtId="0" fontId="35" fillId="0" borderId="156" xfId="0" applyFont="1" applyBorder="1" applyAlignment="1">
      <alignment horizontal="right" vertical="center"/>
    </xf>
    <xf numFmtId="0" fontId="35" fillId="0" borderId="44" xfId="0" applyFont="1" applyBorder="1" applyAlignment="1">
      <alignment horizontal="right" vertical="center"/>
    </xf>
    <xf numFmtId="0" fontId="50" fillId="0" borderId="19" xfId="0" applyFont="1" applyBorder="1" applyAlignment="1">
      <alignment horizontal="center" vertical="center"/>
    </xf>
    <xf numFmtId="0" fontId="21" fillId="9" borderId="160" xfId="0" applyFont="1" applyFill="1" applyBorder="1" applyAlignment="1" applyProtection="1">
      <alignment horizontal="left" vertical="top"/>
      <protection locked="0"/>
    </xf>
    <xf numFmtId="0" fontId="21" fillId="9" borderId="113" xfId="0" applyFont="1" applyFill="1" applyBorder="1" applyAlignment="1" applyProtection="1">
      <alignment horizontal="left" vertical="top"/>
      <protection locked="0"/>
    </xf>
    <xf numFmtId="0" fontId="21" fillId="9" borderId="161" xfId="0" applyFont="1" applyFill="1" applyBorder="1" applyAlignment="1" applyProtection="1">
      <alignment horizontal="left" vertical="top"/>
      <protection locked="0"/>
    </xf>
    <xf numFmtId="0" fontId="11" fillId="2" borderId="31" xfId="1" applyFont="1" applyFill="1" applyBorder="1" applyAlignment="1">
      <alignment horizontal="center" vertical="center"/>
    </xf>
    <xf numFmtId="0" fontId="11" fillId="2" borderId="32" xfId="1" applyFont="1" applyFill="1" applyBorder="1" applyAlignment="1">
      <alignment horizontal="center" vertical="center"/>
    </xf>
    <xf numFmtId="0" fontId="11" fillId="2" borderId="33" xfId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center" vertical="center" wrapText="1"/>
    </xf>
    <xf numFmtId="0" fontId="11" fillId="2" borderId="32" xfId="1" applyFont="1" applyFill="1" applyBorder="1" applyAlignment="1">
      <alignment horizontal="center" vertical="center" wrapText="1"/>
    </xf>
    <xf numFmtId="0" fontId="11" fillId="2" borderId="33" xfId="1" applyFont="1" applyFill="1" applyBorder="1" applyAlignment="1">
      <alignment horizontal="center" vertical="center" wrapText="1"/>
    </xf>
    <xf numFmtId="0" fontId="11" fillId="2" borderId="34" xfId="1" applyFont="1" applyFill="1" applyBorder="1" applyAlignment="1">
      <alignment horizontal="center" vertical="center"/>
    </xf>
    <xf numFmtId="0" fontId="11" fillId="2" borderId="94" xfId="1" applyFont="1" applyFill="1" applyBorder="1" applyAlignment="1">
      <alignment horizontal="center" vertical="center"/>
    </xf>
    <xf numFmtId="0" fontId="11" fillId="2" borderId="35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243E3170-8DA6-48DF-8C95-69DDC52A5978}"/>
  </cellStyles>
  <dxfs count="6">
    <dxf>
      <font>
        <b/>
        <i val="0"/>
        <color rgb="FFFF0000"/>
      </font>
    </dxf>
    <dxf>
      <fill>
        <patternFill>
          <bgColor rgb="FFECFBFE"/>
        </patternFill>
      </fill>
    </dxf>
    <dxf>
      <font>
        <b/>
        <i val="0"/>
        <color rgb="FFFF0000"/>
      </font>
    </dxf>
    <dxf>
      <fill>
        <patternFill>
          <bgColor rgb="FFECFBFE"/>
        </patternFill>
      </fill>
    </dxf>
    <dxf>
      <font>
        <b/>
        <i val="0"/>
        <color rgb="FFFF0000"/>
      </font>
    </dxf>
    <dxf>
      <fill>
        <patternFill>
          <bgColor rgb="FFECFBFE"/>
        </patternFill>
      </fill>
    </dxf>
  </dxfs>
  <tableStyles count="0" defaultTableStyle="TableStyleMedium2" defaultPivotStyle="PivotStyleLight16"/>
  <colors>
    <mruColors>
      <color rgb="FFECFBFE"/>
      <color rgb="FFE2F9FE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U$9" lockText="1" noThreeD="1"/>
</file>

<file path=xl/ctrlProps/ctrlProp10.xml><?xml version="1.0" encoding="utf-8"?>
<formControlPr xmlns="http://schemas.microsoft.com/office/spreadsheetml/2009/9/main" objectType="CheckBox" fmlaLink="$AV$9" lockText="1" noThreeD="1"/>
</file>

<file path=xl/ctrlProps/ctrlProp11.xml><?xml version="1.0" encoding="utf-8"?>
<formControlPr xmlns="http://schemas.microsoft.com/office/spreadsheetml/2009/9/main" objectType="CheckBox" fmlaLink="$AW$9" lockText="1" noThreeD="1"/>
</file>

<file path=xl/ctrlProps/ctrlProp12.xml><?xml version="1.0" encoding="utf-8"?>
<formControlPr xmlns="http://schemas.microsoft.com/office/spreadsheetml/2009/9/main" objectType="CheckBox" fmlaLink="$AX$9" lockText="1" noThreeD="1"/>
</file>

<file path=xl/ctrlProps/ctrlProp2.xml><?xml version="1.0" encoding="utf-8"?>
<formControlPr xmlns="http://schemas.microsoft.com/office/spreadsheetml/2009/9/main" objectType="CheckBox" fmlaLink="$AV$9" lockText="1" noThreeD="1"/>
</file>

<file path=xl/ctrlProps/ctrlProp3.xml><?xml version="1.0" encoding="utf-8"?>
<formControlPr xmlns="http://schemas.microsoft.com/office/spreadsheetml/2009/9/main" objectType="CheckBox" fmlaLink="$AW$9" lockText="1" noThreeD="1"/>
</file>

<file path=xl/ctrlProps/ctrlProp4.xml><?xml version="1.0" encoding="utf-8"?>
<formControlPr xmlns="http://schemas.microsoft.com/office/spreadsheetml/2009/9/main" objectType="CheckBox" fmlaLink="$AX$9" lockText="1" noThreeD="1"/>
</file>

<file path=xl/ctrlProps/ctrlProp5.xml><?xml version="1.0" encoding="utf-8"?>
<formControlPr xmlns="http://schemas.microsoft.com/office/spreadsheetml/2009/9/main" objectType="CheckBox" fmlaLink="$AU$9" lockText="1" noThreeD="1"/>
</file>

<file path=xl/ctrlProps/ctrlProp6.xml><?xml version="1.0" encoding="utf-8"?>
<formControlPr xmlns="http://schemas.microsoft.com/office/spreadsheetml/2009/9/main" objectType="CheckBox" fmlaLink="$AV$9" lockText="1" noThreeD="1"/>
</file>

<file path=xl/ctrlProps/ctrlProp7.xml><?xml version="1.0" encoding="utf-8"?>
<formControlPr xmlns="http://schemas.microsoft.com/office/spreadsheetml/2009/9/main" objectType="CheckBox" fmlaLink="$AW$9" lockText="1" noThreeD="1"/>
</file>

<file path=xl/ctrlProps/ctrlProp8.xml><?xml version="1.0" encoding="utf-8"?>
<formControlPr xmlns="http://schemas.microsoft.com/office/spreadsheetml/2009/9/main" objectType="CheckBox" fmlaLink="$AX$9" lockText="1" noThreeD="1"/>
</file>

<file path=xl/ctrlProps/ctrlProp9.xml><?xml version="1.0" encoding="utf-8"?>
<formControlPr xmlns="http://schemas.microsoft.com/office/spreadsheetml/2009/9/main" objectType="CheckBox" fmlaLink="$AU$9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252187</xdr:colOff>
      <xdr:row>13</xdr:row>
      <xdr:rowOff>32208</xdr:rowOff>
    </xdr:from>
    <xdr:to>
      <xdr:col>39</xdr:col>
      <xdr:colOff>137433</xdr:colOff>
      <xdr:row>52</xdr:row>
      <xdr:rowOff>241755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750723" y="3842208"/>
          <a:ext cx="1844674" cy="10292440"/>
        </a:xfrm>
        <a:prstGeom prst="rect">
          <a:avLst/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　　＜器具＞</a:t>
          </a:r>
          <a:br>
            <a:rPr lang="en-US" altLang="ja-JP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</a:br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分岐箇所</a:t>
          </a:r>
          <a:endParaRPr lang="en-US" altLang="ja-JP" sz="1600" b="0" i="0" u="none" strike="noStrike">
            <a:solidFill>
              <a:srgbClr val="000000"/>
            </a:solidFill>
            <a:effectLst/>
            <a:latin typeface="游ゴシック" panose="020B0400000000000000" pitchFamily="50" charset="-128"/>
            <a:ea typeface="+mn-ea"/>
          </a:endParaRPr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サドル分水栓</a:t>
          </a:r>
          <a:br>
            <a:rPr lang="en-US" altLang="ja-JP" sz="1600"/>
          </a:br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割</a:t>
          </a:r>
          <a:r>
            <a:rPr lang="en-US" altLang="ja-JP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T</a:t>
          </a:r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字</a:t>
          </a:r>
          <a:br>
            <a:rPr lang="en-US" altLang="ja-JP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</a:br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異径接合</a:t>
          </a:r>
          <a:br>
            <a:rPr lang="en-US" altLang="ja-JP" sz="1600"/>
          </a:br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ボール止水栓</a:t>
          </a:r>
          <a:endParaRPr lang="en-US" altLang="ja-JP" sz="1600" b="0" i="0" u="none" strike="noStrike">
            <a:solidFill>
              <a:srgbClr val="000000"/>
            </a:solidFill>
            <a:effectLst/>
            <a:latin typeface="游ゴシック" panose="020B0400000000000000" pitchFamily="50" charset="-128"/>
            <a:ea typeface="+mn-ea"/>
          </a:endParaRPr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甲止水栓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止水栓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仕切弁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メーター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逆止ﾒｰﾀｰﾊﾟｯｷﾝ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ﾒｰﾀｰﾕﾆｯﾄ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屋内止水栓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ｽﾄﾚｰﾄ止水栓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ｱﾝｸﾞﾙ止水栓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ﾎﾞｰﾙﾊﾞﾙﾌﾞ逆止有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水栓類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ボールタップ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分岐水栓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フレキ</a:t>
          </a:r>
          <a:r>
            <a:rPr lang="en-US" altLang="ja-JP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300L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フレキ</a:t>
          </a:r>
          <a:r>
            <a:rPr lang="en-US" altLang="ja-JP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500L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ﾌﾗｯｼｭﾊﾞﾙﾌﾞ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逆止弁単式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逆止弁減圧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逆止弁ｽｲﾝｸﾞ式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水抜栓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ﾄﾞﾚﾝﾊﾞﾙﾌﾞ逆止有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ﾄﾞﾚﾝﾊﾞﾙﾌﾞ逆止無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定水位弁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ヘッダー</a:t>
          </a:r>
          <a:endParaRPr kumimoji="1" lang="ja-JP" altLang="en-US" sz="1600"/>
        </a:p>
      </xdr:txBody>
    </xdr:sp>
    <xdr:clientData/>
  </xdr:twoCellAnchor>
  <xdr:oneCellAnchor>
    <xdr:from>
      <xdr:col>21</xdr:col>
      <xdr:colOff>465818</xdr:colOff>
      <xdr:row>8</xdr:row>
      <xdr:rowOff>1088572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889389" y="2748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39</xdr:col>
      <xdr:colOff>139251</xdr:colOff>
      <xdr:row>13</xdr:row>
      <xdr:rowOff>9524</xdr:rowOff>
    </xdr:from>
    <xdr:ext cx="1102178" cy="366712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912901" y="3857624"/>
          <a:ext cx="1102178" cy="3667126"/>
        </a:xfrm>
        <a:prstGeom prst="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ja-JP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＜管種＞</a:t>
          </a:r>
          <a:endParaRPr lang="en-US" altLang="ja-JP" sz="16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</a:t>
          </a: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PeH</a:t>
          </a:r>
          <a:endParaRPr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HPPE</a:t>
          </a:r>
          <a:endParaRPr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SUS</a:t>
          </a:r>
          <a:endParaRPr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PBP</a:t>
          </a:r>
          <a:endParaRPr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VSP</a:t>
          </a:r>
          <a:endParaRPr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XPe</a:t>
          </a:r>
          <a:endParaRPr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VP</a:t>
          </a:r>
          <a:endParaRPr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COP</a:t>
          </a:r>
          <a:endParaRPr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HIVP</a:t>
          </a:r>
          <a:endParaRPr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鋳鉄管</a:t>
          </a:r>
          <a:endParaRPr lang="en-US" altLang="ja-JP" sz="16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給水管</a:t>
          </a:r>
          <a:endParaRPr kumimoji="1" lang="ja-JP" altLang="en-US" sz="1600"/>
        </a:p>
      </xdr:txBody>
    </xdr:sp>
    <xdr:clientData/>
  </xdr:oneCellAnchor>
  <xdr:oneCellAnchor>
    <xdr:from>
      <xdr:col>36</xdr:col>
      <xdr:colOff>261712</xdr:colOff>
      <xdr:row>8</xdr:row>
      <xdr:rowOff>857252</xdr:rowOff>
    </xdr:from>
    <xdr:ext cx="9308193" cy="11224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5083862" y="2714627"/>
          <a:ext cx="9308193" cy="1122423"/>
        </a:xfrm>
        <a:prstGeom prst="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〇器具及び管種の欄はプルダウンで選択するか、下の枠内の単語をコピーして貼り付けてください。　</a:t>
          </a:r>
          <a:endParaRPr kumimoji="1" lang="en-US" altLang="ja-JP" sz="1600"/>
        </a:p>
        <a:p>
          <a:r>
            <a:rPr kumimoji="1" lang="ja-JP" altLang="en-US" sz="1600"/>
            <a:t>　器具において、枠内にないものについては直接入力可能です。</a:t>
          </a:r>
          <a:endParaRPr kumimoji="1" lang="en-US" altLang="ja-JP" sz="1600"/>
        </a:p>
        <a:p>
          <a:r>
            <a:rPr kumimoji="1" lang="en-US" altLang="ja-JP" sz="1600"/>
            <a:t>※</a:t>
          </a:r>
          <a:r>
            <a:rPr kumimoji="1" lang="ja-JP" altLang="en-US" sz="1600"/>
            <a:t>直接入力した場合はその他損失水頭欄に数値を入力してください</a:t>
          </a:r>
        </a:p>
      </xdr:txBody>
    </xdr:sp>
    <xdr:clientData/>
  </xdr:oneCellAnchor>
  <xdr:twoCellAnchor editAs="oneCell">
    <xdr:from>
      <xdr:col>42</xdr:col>
      <xdr:colOff>204108</xdr:colOff>
      <xdr:row>20</xdr:row>
      <xdr:rowOff>142423</xdr:rowOff>
    </xdr:from>
    <xdr:to>
      <xdr:col>48</xdr:col>
      <xdr:colOff>597503</xdr:colOff>
      <xdr:row>28</xdr:row>
      <xdr:rowOff>198508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01" y="5762173"/>
          <a:ext cx="4312252" cy="2124371"/>
        </a:xfrm>
        <a:prstGeom prst="rect">
          <a:avLst/>
        </a:prstGeom>
      </xdr:spPr>
    </xdr:pic>
    <xdr:clientData/>
  </xdr:twoCellAnchor>
  <xdr:oneCellAnchor>
    <xdr:from>
      <xdr:col>42</xdr:col>
      <xdr:colOff>238577</xdr:colOff>
      <xdr:row>28</xdr:row>
      <xdr:rowOff>187327</xdr:rowOff>
    </xdr:from>
    <xdr:ext cx="4266293" cy="125111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655970" y="7875363"/>
          <a:ext cx="4266293" cy="1251112"/>
        </a:xfrm>
        <a:prstGeom prst="rect">
          <a:avLst/>
        </a:prstGeom>
        <a:solidFill>
          <a:schemeClr val="bg1"/>
        </a:solidFill>
        <a:ln w="38100">
          <a:solidFill>
            <a:schemeClr val="accent4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/>
            <a:t>使用水量の求め方を変える場合</a:t>
          </a:r>
          <a:endParaRPr kumimoji="1" lang="en-US" altLang="ja-JP" sz="1800"/>
        </a:p>
        <a:p>
          <a:r>
            <a:rPr kumimoji="1" lang="ja-JP" altLang="en-US" sz="1800"/>
            <a:t>例：戸数→栓数、人数→栓数　等</a:t>
          </a:r>
          <a:endParaRPr kumimoji="1" lang="en-US" altLang="ja-JP" sz="1800"/>
        </a:p>
        <a:p>
          <a:r>
            <a:rPr kumimoji="1" lang="ja-JP" altLang="en-US" sz="1800"/>
            <a:t>上記のように０を入力してください。</a:t>
          </a:r>
        </a:p>
      </xdr:txBody>
    </xdr:sp>
    <xdr:clientData/>
  </xdr:oneCellAnchor>
  <xdr:oneCellAnchor>
    <xdr:from>
      <xdr:col>42</xdr:col>
      <xdr:colOff>207283</xdr:colOff>
      <xdr:row>14</xdr:row>
      <xdr:rowOff>0</xdr:rowOff>
    </xdr:from>
    <xdr:ext cx="4266293" cy="1637371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624676" y="4068536"/>
          <a:ext cx="4266293" cy="1637371"/>
        </a:xfrm>
        <a:prstGeom prst="rect">
          <a:avLst/>
        </a:prstGeom>
        <a:solidFill>
          <a:schemeClr val="bg1"/>
        </a:solidFill>
        <a:ln w="38100">
          <a:solidFill>
            <a:schemeClr val="accent4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/>
            <a:t>使用水量の欄は数字が変わる場合のみ入力してください。（全部入力も可）</a:t>
          </a:r>
          <a:endParaRPr kumimoji="1" lang="en-US" altLang="ja-JP" sz="1800"/>
        </a:p>
        <a:p>
          <a:r>
            <a:rPr kumimoji="1" lang="en-US" altLang="ja-JP" sz="1800"/>
            <a:t>※</a:t>
          </a:r>
          <a:r>
            <a:rPr kumimoji="1" lang="ja-JP" altLang="en-US" sz="1800"/>
            <a:t>追加水量の欄は追加が必要なところすべてに入力してください。</a:t>
          </a:r>
        </a:p>
      </xdr:txBody>
    </xdr:sp>
    <xdr:clientData/>
  </xdr:oneCellAnchor>
  <xdr:twoCellAnchor>
    <xdr:from>
      <xdr:col>44</xdr:col>
      <xdr:colOff>333820</xdr:colOff>
      <xdr:row>24</xdr:row>
      <xdr:rowOff>95252</xdr:rowOff>
    </xdr:from>
    <xdr:to>
      <xdr:col>45</xdr:col>
      <xdr:colOff>143321</xdr:colOff>
      <xdr:row>25</xdr:row>
      <xdr:rowOff>54430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1057499" y="6749145"/>
          <a:ext cx="462643" cy="21771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457200</xdr:colOff>
          <xdr:row>8</xdr:row>
          <xdr:rowOff>350520</xdr:rowOff>
        </xdr:from>
        <xdr:to>
          <xdr:col>38</xdr:col>
          <xdr:colOff>426720</xdr:colOff>
          <xdr:row>8</xdr:row>
          <xdr:rowOff>868680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495300</xdr:colOff>
          <xdr:row>8</xdr:row>
          <xdr:rowOff>365760</xdr:rowOff>
        </xdr:from>
        <xdr:to>
          <xdr:col>39</xdr:col>
          <xdr:colOff>411480</xdr:colOff>
          <xdr:row>8</xdr:row>
          <xdr:rowOff>807720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480060</xdr:colOff>
          <xdr:row>8</xdr:row>
          <xdr:rowOff>464820</xdr:rowOff>
        </xdr:from>
        <xdr:to>
          <xdr:col>40</xdr:col>
          <xdr:colOff>502920</xdr:colOff>
          <xdr:row>8</xdr:row>
          <xdr:rowOff>746760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480060</xdr:colOff>
          <xdr:row>8</xdr:row>
          <xdr:rowOff>426720</xdr:rowOff>
        </xdr:from>
        <xdr:to>
          <xdr:col>41</xdr:col>
          <xdr:colOff>525780</xdr:colOff>
          <xdr:row>8</xdr:row>
          <xdr:rowOff>807720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257177</xdr:colOff>
      <xdr:row>14</xdr:row>
      <xdr:rowOff>219532</xdr:rowOff>
    </xdr:from>
    <xdr:to>
      <xdr:col>39</xdr:col>
      <xdr:colOff>145598</xdr:colOff>
      <xdr:row>55</xdr:row>
      <xdr:rowOff>122465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755713" y="3403603"/>
          <a:ext cx="1847849" cy="10502898"/>
        </a:xfrm>
        <a:prstGeom prst="rect">
          <a:avLst/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　　＜器具＞</a:t>
          </a:r>
          <a:br>
            <a:rPr lang="en-US" altLang="ja-JP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</a:br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分岐箇所</a:t>
          </a:r>
          <a:endParaRPr lang="en-US" altLang="ja-JP" sz="1600" b="0" i="0" u="none" strike="noStrike">
            <a:solidFill>
              <a:srgbClr val="000000"/>
            </a:solidFill>
            <a:effectLst/>
            <a:latin typeface="游ゴシック" panose="020B0400000000000000" pitchFamily="50" charset="-128"/>
            <a:ea typeface="+mn-ea"/>
          </a:endParaRPr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サドル分水栓</a:t>
          </a:r>
          <a:br>
            <a:rPr lang="en-US" altLang="ja-JP" sz="1600"/>
          </a:br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割</a:t>
          </a:r>
          <a:r>
            <a:rPr lang="en-US" altLang="ja-JP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T</a:t>
          </a:r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字</a:t>
          </a:r>
          <a:br>
            <a:rPr lang="en-US" altLang="ja-JP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</a:br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異径接合</a:t>
          </a:r>
          <a:br>
            <a:rPr lang="en-US" altLang="ja-JP" sz="1600"/>
          </a:br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ボール止水栓</a:t>
          </a:r>
          <a:endParaRPr lang="en-US" altLang="ja-JP" sz="1600" b="0" i="0" u="none" strike="noStrike">
            <a:solidFill>
              <a:srgbClr val="000000"/>
            </a:solidFill>
            <a:effectLst/>
            <a:latin typeface="游ゴシック" panose="020B0400000000000000" pitchFamily="50" charset="-128"/>
            <a:ea typeface="+mn-ea"/>
          </a:endParaRPr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甲止水栓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止水栓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仕切弁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メーター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逆止ﾒｰﾀｰﾊﾟｯｷﾝ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ﾒｰﾀｰﾕﾆｯﾄ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屋内止水栓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ｽﾄﾚｰﾄ止水栓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ｱﾝｸﾞﾙ止水栓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ﾎﾞｰﾙﾊﾞﾙﾌﾞ逆止有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水栓類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ボールタップ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分岐水栓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フレキ</a:t>
          </a:r>
          <a:r>
            <a:rPr lang="en-US" altLang="ja-JP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300L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フレキ</a:t>
          </a:r>
          <a:r>
            <a:rPr lang="en-US" altLang="ja-JP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500L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ﾌﾗｯｼｭﾊﾞﾙﾌﾞ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逆止弁単式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逆止弁減圧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逆止弁ｽｲﾝｸﾞ式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水抜栓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ﾄﾞﾚﾝﾊﾞﾙﾌﾞ逆止有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ﾄﾞﾚﾝﾊﾞﾙﾌﾞ逆止無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定水位弁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ヘッダー</a:t>
          </a:r>
          <a:endParaRPr kumimoji="1" lang="ja-JP" altLang="en-US" sz="1600"/>
        </a:p>
      </xdr:txBody>
    </xdr:sp>
    <xdr:clientData/>
  </xdr:twoCellAnchor>
  <xdr:oneCellAnchor>
    <xdr:from>
      <xdr:col>39</xdr:col>
      <xdr:colOff>244931</xdr:colOff>
      <xdr:row>14</xdr:row>
      <xdr:rowOff>207280</xdr:rowOff>
    </xdr:from>
    <xdr:ext cx="1102178" cy="376600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7702895" y="3391351"/>
          <a:ext cx="1102178" cy="3766006"/>
        </a:xfrm>
        <a:prstGeom prst="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ja-JP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＜管種＞</a:t>
          </a:r>
          <a:endParaRPr lang="en-US" altLang="ja-JP" sz="16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</a:t>
          </a: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PeH</a:t>
          </a:r>
          <a:endParaRPr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HPPE</a:t>
          </a:r>
          <a:endParaRPr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SUS</a:t>
          </a:r>
          <a:endParaRPr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PBP</a:t>
          </a:r>
          <a:endParaRPr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VSP</a:t>
          </a:r>
          <a:endParaRPr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XPe</a:t>
          </a:r>
          <a:endParaRPr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VP</a:t>
          </a:r>
          <a:endParaRPr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COP</a:t>
          </a:r>
          <a:endParaRPr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HIVP</a:t>
          </a:r>
          <a:endParaRPr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鋳鉄管</a:t>
          </a:r>
          <a:endParaRPr lang="en-US" altLang="ja-JP" sz="16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給水管</a:t>
          </a:r>
          <a:endParaRPr kumimoji="1" lang="ja-JP" altLang="en-US" sz="1600"/>
        </a:p>
      </xdr:txBody>
    </xdr:sp>
    <xdr:clientData/>
  </xdr:oneCellAnchor>
  <xdr:oneCellAnchor>
    <xdr:from>
      <xdr:col>36</xdr:col>
      <xdr:colOff>217715</xdr:colOff>
      <xdr:row>8</xdr:row>
      <xdr:rowOff>381002</xdr:rowOff>
    </xdr:from>
    <xdr:ext cx="9308193" cy="11224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5716251" y="2217966"/>
          <a:ext cx="9308193" cy="1122423"/>
        </a:xfrm>
        <a:prstGeom prst="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〇器具及び管種の欄はプルダウンで選択するか、下の枠内の単語をコピーして貼り付けてください。　</a:t>
          </a:r>
          <a:endParaRPr kumimoji="1" lang="en-US" altLang="ja-JP" sz="1600"/>
        </a:p>
        <a:p>
          <a:r>
            <a:rPr kumimoji="1" lang="ja-JP" altLang="en-US" sz="1600"/>
            <a:t>　器具において、枠内にないものについては直接入力可能です。</a:t>
          </a:r>
          <a:endParaRPr kumimoji="1" lang="en-US" altLang="ja-JP" sz="1600"/>
        </a:p>
        <a:p>
          <a:r>
            <a:rPr kumimoji="1" lang="en-US" altLang="ja-JP" sz="1600"/>
            <a:t>※</a:t>
          </a:r>
          <a:r>
            <a:rPr kumimoji="1" lang="ja-JP" altLang="en-US" sz="1600"/>
            <a:t>直接入力した場合はその他損失水頭欄に数値を入力してください</a:t>
          </a:r>
        </a:p>
      </xdr:txBody>
    </xdr:sp>
    <xdr:clientData/>
  </xdr:oneCellAnchor>
  <xdr:twoCellAnchor editAs="oneCell">
    <xdr:from>
      <xdr:col>41</xdr:col>
      <xdr:colOff>394608</xdr:colOff>
      <xdr:row>21</xdr:row>
      <xdr:rowOff>128815</xdr:rowOff>
    </xdr:from>
    <xdr:to>
      <xdr:col>48</xdr:col>
      <xdr:colOff>134860</xdr:colOff>
      <xdr:row>29</xdr:row>
      <xdr:rowOff>181725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58858" y="4510315"/>
          <a:ext cx="4312252" cy="2121196"/>
        </a:xfrm>
        <a:prstGeom prst="rect">
          <a:avLst/>
        </a:prstGeom>
      </xdr:spPr>
    </xdr:pic>
    <xdr:clientData/>
  </xdr:twoCellAnchor>
  <xdr:oneCellAnchor>
    <xdr:from>
      <xdr:col>41</xdr:col>
      <xdr:colOff>422727</xdr:colOff>
      <xdr:row>29</xdr:row>
      <xdr:rowOff>173719</xdr:rowOff>
    </xdr:from>
    <xdr:ext cx="4266293" cy="125111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9186977" y="6623505"/>
          <a:ext cx="4266293" cy="1251112"/>
        </a:xfrm>
        <a:prstGeom prst="rect">
          <a:avLst/>
        </a:prstGeom>
        <a:solidFill>
          <a:schemeClr val="bg1"/>
        </a:solidFill>
        <a:ln w="38100">
          <a:solidFill>
            <a:schemeClr val="accent4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/>
            <a:t>使用水量の求め方を変える場合</a:t>
          </a:r>
          <a:endParaRPr kumimoji="1" lang="en-US" altLang="ja-JP" sz="1800"/>
        </a:p>
        <a:p>
          <a:r>
            <a:rPr kumimoji="1" lang="ja-JP" altLang="en-US" sz="1800"/>
            <a:t>例：戸数→栓数、人数→栓数　等</a:t>
          </a:r>
          <a:endParaRPr kumimoji="1" lang="en-US" altLang="ja-JP" sz="1800"/>
        </a:p>
        <a:p>
          <a:r>
            <a:rPr kumimoji="1" lang="ja-JP" altLang="en-US" sz="1800"/>
            <a:t>上記のように０を入力してください。</a:t>
          </a:r>
        </a:p>
      </xdr:txBody>
    </xdr:sp>
    <xdr:clientData/>
  </xdr:oneCellAnchor>
  <xdr:oneCellAnchor>
    <xdr:from>
      <xdr:col>41</xdr:col>
      <xdr:colOff>400958</xdr:colOff>
      <xdr:row>14</xdr:row>
      <xdr:rowOff>244928</xdr:rowOff>
    </xdr:from>
    <xdr:ext cx="4266293" cy="1637371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9165208" y="2816678"/>
          <a:ext cx="4266293" cy="1637371"/>
        </a:xfrm>
        <a:prstGeom prst="rect">
          <a:avLst/>
        </a:prstGeom>
        <a:solidFill>
          <a:schemeClr val="bg1"/>
        </a:solidFill>
        <a:ln w="38100">
          <a:solidFill>
            <a:schemeClr val="accent4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/>
            <a:t>使用水量の欄は数字が変わる場合のみ入力してください。（全部入力も可）</a:t>
          </a:r>
          <a:endParaRPr kumimoji="1" lang="en-US" altLang="ja-JP" sz="1800"/>
        </a:p>
        <a:p>
          <a:r>
            <a:rPr kumimoji="1" lang="en-US" altLang="ja-JP" sz="1800"/>
            <a:t>※</a:t>
          </a:r>
          <a:r>
            <a:rPr kumimoji="1" lang="ja-JP" altLang="en-US" sz="1800"/>
            <a:t>追加水量の欄は追加が必要なところすべてに入力してください。</a:t>
          </a:r>
        </a:p>
      </xdr:txBody>
    </xdr:sp>
    <xdr:clientData/>
  </xdr:oneCellAnchor>
  <xdr:twoCellAnchor>
    <xdr:from>
      <xdr:col>43</xdr:col>
      <xdr:colOff>521153</xdr:colOff>
      <xdr:row>25</xdr:row>
      <xdr:rowOff>81644</xdr:rowOff>
    </xdr:from>
    <xdr:to>
      <xdr:col>44</xdr:col>
      <xdr:colOff>330653</xdr:colOff>
      <xdr:row>26</xdr:row>
      <xdr:rowOff>43997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0591689" y="5497287"/>
          <a:ext cx="462643" cy="22088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457200</xdr:colOff>
          <xdr:row>7</xdr:row>
          <xdr:rowOff>289560</xdr:rowOff>
        </xdr:from>
        <xdr:to>
          <xdr:col>38</xdr:col>
          <xdr:colOff>426720</xdr:colOff>
          <xdr:row>8</xdr:row>
          <xdr:rowOff>525780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449580</xdr:colOff>
          <xdr:row>8</xdr:row>
          <xdr:rowOff>30480</xdr:rowOff>
        </xdr:from>
        <xdr:to>
          <xdr:col>39</xdr:col>
          <xdr:colOff>365760</xdr:colOff>
          <xdr:row>8</xdr:row>
          <xdr:rowOff>480060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449580</xdr:colOff>
          <xdr:row>8</xdr:row>
          <xdr:rowOff>114300</xdr:rowOff>
        </xdr:from>
        <xdr:to>
          <xdr:col>40</xdr:col>
          <xdr:colOff>480060</xdr:colOff>
          <xdr:row>8</xdr:row>
          <xdr:rowOff>388620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449580</xdr:colOff>
          <xdr:row>8</xdr:row>
          <xdr:rowOff>76200</xdr:rowOff>
        </xdr:from>
        <xdr:to>
          <xdr:col>41</xdr:col>
          <xdr:colOff>495300</xdr:colOff>
          <xdr:row>8</xdr:row>
          <xdr:rowOff>457200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257177</xdr:colOff>
      <xdr:row>15</xdr:row>
      <xdr:rowOff>219532</xdr:rowOff>
    </xdr:from>
    <xdr:to>
      <xdr:col>39</xdr:col>
      <xdr:colOff>145598</xdr:colOff>
      <xdr:row>56</xdr:row>
      <xdr:rowOff>81644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5755713" y="3662139"/>
          <a:ext cx="1847849" cy="10462076"/>
        </a:xfrm>
        <a:prstGeom prst="rect">
          <a:avLst/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　　＜器具＞</a:t>
          </a:r>
          <a:br>
            <a:rPr lang="en-US" altLang="ja-JP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</a:br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分岐箇所</a:t>
          </a:r>
          <a:endParaRPr lang="en-US" altLang="ja-JP" sz="1600" b="0" i="0" u="none" strike="noStrike">
            <a:solidFill>
              <a:srgbClr val="000000"/>
            </a:solidFill>
            <a:effectLst/>
            <a:latin typeface="游ゴシック" panose="020B0400000000000000" pitchFamily="50" charset="-128"/>
            <a:ea typeface="+mn-ea"/>
          </a:endParaRPr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サドル分水栓</a:t>
          </a:r>
          <a:br>
            <a:rPr lang="en-US" altLang="ja-JP" sz="1600"/>
          </a:br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割</a:t>
          </a:r>
          <a:r>
            <a:rPr lang="en-US" altLang="ja-JP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T</a:t>
          </a:r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字</a:t>
          </a:r>
          <a:br>
            <a:rPr lang="en-US" altLang="ja-JP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</a:br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異径接合</a:t>
          </a:r>
          <a:br>
            <a:rPr lang="en-US" altLang="ja-JP" sz="1600"/>
          </a:br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ボール止水栓</a:t>
          </a:r>
          <a:endParaRPr lang="en-US" altLang="ja-JP" sz="1600" b="0" i="0" u="none" strike="noStrike">
            <a:solidFill>
              <a:srgbClr val="000000"/>
            </a:solidFill>
            <a:effectLst/>
            <a:latin typeface="游ゴシック" panose="020B0400000000000000" pitchFamily="50" charset="-128"/>
            <a:ea typeface="+mn-ea"/>
          </a:endParaRPr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甲止水栓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止水栓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仕切弁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メーター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逆止ﾒｰﾀｰﾊﾟｯｷﾝ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ﾒｰﾀｰﾕﾆｯﾄ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屋内止水栓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ｽﾄﾚｰﾄ止水栓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ｱﾝｸﾞﾙ止水栓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ﾎﾞｰﾙﾊﾞﾙﾌﾞ逆止有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水栓類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ボールタップ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分岐水栓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フレキ</a:t>
          </a:r>
          <a:r>
            <a:rPr lang="en-US" altLang="ja-JP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300L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フレキ</a:t>
          </a:r>
          <a:r>
            <a:rPr lang="en-US" altLang="ja-JP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500L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ﾌﾗｯｼｭﾊﾞﾙﾌﾞ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逆止弁単式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逆止弁減圧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逆止弁ｽｲﾝｸﾞ式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水抜栓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ﾄﾞﾚﾝﾊﾞﾙﾌﾞ逆止有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ﾄﾞﾚﾝﾊﾞﾙﾌﾞ逆止無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定水位弁</a:t>
          </a:r>
          <a:endParaRPr lang="en-US" altLang="ja-JP" sz="1600"/>
        </a:p>
        <a:p>
          <a:r>
            <a:rPr lang="ja-JP" altLang="en-US" sz="16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ヘッダー</a:t>
          </a:r>
          <a:endParaRPr kumimoji="1" lang="ja-JP" altLang="en-US" sz="1600"/>
        </a:p>
      </xdr:txBody>
    </xdr:sp>
    <xdr:clientData/>
  </xdr:twoCellAnchor>
  <xdr:oneCellAnchor>
    <xdr:from>
      <xdr:col>39</xdr:col>
      <xdr:colOff>244931</xdr:colOff>
      <xdr:row>15</xdr:row>
      <xdr:rowOff>207279</xdr:rowOff>
    </xdr:from>
    <xdr:ext cx="1102178" cy="361632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7702895" y="3649886"/>
          <a:ext cx="1102178" cy="3616327"/>
        </a:xfrm>
        <a:prstGeom prst="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ja-JP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＜管種＞</a:t>
          </a:r>
          <a:endParaRPr lang="en-US" altLang="ja-JP" sz="16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</a:t>
          </a: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PeH</a:t>
          </a:r>
          <a:endParaRPr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HPPE</a:t>
          </a:r>
          <a:endParaRPr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SUS</a:t>
          </a:r>
          <a:endParaRPr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PBP</a:t>
          </a:r>
          <a:endParaRPr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VSP</a:t>
          </a:r>
          <a:endParaRPr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XPe</a:t>
          </a:r>
          <a:endParaRPr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VP</a:t>
          </a:r>
          <a:endParaRPr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COP</a:t>
          </a:r>
          <a:endParaRPr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HIVP</a:t>
          </a:r>
          <a:endParaRPr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鋳鉄管</a:t>
          </a:r>
          <a:endParaRPr lang="en-US" altLang="ja-JP" sz="16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給水管</a:t>
          </a:r>
          <a:endParaRPr kumimoji="1" lang="ja-JP" altLang="en-US" sz="1600"/>
        </a:p>
      </xdr:txBody>
    </xdr:sp>
    <xdr:clientData/>
  </xdr:oneCellAnchor>
  <xdr:oneCellAnchor>
    <xdr:from>
      <xdr:col>36</xdr:col>
      <xdr:colOff>217715</xdr:colOff>
      <xdr:row>8</xdr:row>
      <xdr:rowOff>381002</xdr:rowOff>
    </xdr:from>
    <xdr:ext cx="9308193" cy="112242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5705365" y="2219327"/>
          <a:ext cx="9308193" cy="1122423"/>
        </a:xfrm>
        <a:prstGeom prst="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/>
            <a:t>〇器具及び管種の欄はプルダウンで選択するか、下の枠内の単語をコピーして貼り付けてください。　</a:t>
          </a:r>
          <a:endParaRPr kumimoji="1" lang="en-US" altLang="ja-JP" sz="1600"/>
        </a:p>
        <a:p>
          <a:r>
            <a:rPr kumimoji="1" lang="ja-JP" altLang="en-US" sz="1600"/>
            <a:t>　器具において、枠内にないものについては直接入力可能です。</a:t>
          </a:r>
          <a:endParaRPr kumimoji="1" lang="en-US" altLang="ja-JP" sz="1600"/>
        </a:p>
        <a:p>
          <a:r>
            <a:rPr kumimoji="1" lang="en-US" altLang="ja-JP" sz="1600"/>
            <a:t>※</a:t>
          </a:r>
          <a:r>
            <a:rPr kumimoji="1" lang="ja-JP" altLang="en-US" sz="1600"/>
            <a:t>直接入力した場合はその他損失水頭欄に数値を入力してください</a:t>
          </a:r>
        </a:p>
      </xdr:txBody>
    </xdr:sp>
    <xdr:clientData/>
  </xdr:oneCellAnchor>
  <xdr:twoCellAnchor editAs="oneCell">
    <xdr:from>
      <xdr:col>41</xdr:col>
      <xdr:colOff>394608</xdr:colOff>
      <xdr:row>22</xdr:row>
      <xdr:rowOff>128815</xdr:rowOff>
    </xdr:from>
    <xdr:to>
      <xdr:col>48</xdr:col>
      <xdr:colOff>134860</xdr:colOff>
      <xdr:row>30</xdr:row>
      <xdr:rowOff>181725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68383" y="5110390"/>
          <a:ext cx="4340827" cy="2110310"/>
        </a:xfrm>
        <a:prstGeom prst="rect">
          <a:avLst/>
        </a:prstGeom>
      </xdr:spPr>
    </xdr:pic>
    <xdr:clientData/>
  </xdr:twoCellAnchor>
  <xdr:oneCellAnchor>
    <xdr:from>
      <xdr:col>41</xdr:col>
      <xdr:colOff>422727</xdr:colOff>
      <xdr:row>30</xdr:row>
      <xdr:rowOff>173719</xdr:rowOff>
    </xdr:from>
    <xdr:ext cx="4266293" cy="125111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9196502" y="7212694"/>
          <a:ext cx="4266293" cy="1251112"/>
        </a:xfrm>
        <a:prstGeom prst="rect">
          <a:avLst/>
        </a:prstGeom>
        <a:solidFill>
          <a:schemeClr val="bg1"/>
        </a:solidFill>
        <a:ln w="38100">
          <a:solidFill>
            <a:schemeClr val="accent4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/>
            <a:t>使用水量の求め方を変える場合</a:t>
          </a:r>
          <a:endParaRPr kumimoji="1" lang="en-US" altLang="ja-JP" sz="1800"/>
        </a:p>
        <a:p>
          <a:r>
            <a:rPr kumimoji="1" lang="ja-JP" altLang="en-US" sz="1800"/>
            <a:t>例：戸数→栓数、人数→栓数　等</a:t>
          </a:r>
          <a:endParaRPr kumimoji="1" lang="en-US" altLang="ja-JP" sz="1800"/>
        </a:p>
        <a:p>
          <a:r>
            <a:rPr kumimoji="1" lang="ja-JP" altLang="en-US" sz="1800"/>
            <a:t>上記のように０を入力してください。</a:t>
          </a:r>
        </a:p>
      </xdr:txBody>
    </xdr:sp>
    <xdr:clientData/>
  </xdr:oneCellAnchor>
  <xdr:oneCellAnchor>
    <xdr:from>
      <xdr:col>41</xdr:col>
      <xdr:colOff>400958</xdr:colOff>
      <xdr:row>15</xdr:row>
      <xdr:rowOff>244928</xdr:rowOff>
    </xdr:from>
    <xdr:ext cx="4266293" cy="1637371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9174733" y="3426278"/>
          <a:ext cx="4266293" cy="1637371"/>
        </a:xfrm>
        <a:prstGeom prst="rect">
          <a:avLst/>
        </a:prstGeom>
        <a:solidFill>
          <a:schemeClr val="bg1"/>
        </a:solidFill>
        <a:ln w="38100">
          <a:solidFill>
            <a:schemeClr val="accent4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/>
            <a:t>使用水量の欄は数字が変わる場合のみ入力してください。（全部入力も可）</a:t>
          </a:r>
          <a:endParaRPr kumimoji="1" lang="en-US" altLang="ja-JP" sz="1800"/>
        </a:p>
        <a:p>
          <a:r>
            <a:rPr kumimoji="1" lang="en-US" altLang="ja-JP" sz="1800"/>
            <a:t>※</a:t>
          </a:r>
          <a:r>
            <a:rPr kumimoji="1" lang="ja-JP" altLang="en-US" sz="1800"/>
            <a:t>追加水量の欄は追加が必要なところすべてに入力してください。</a:t>
          </a:r>
        </a:p>
      </xdr:txBody>
    </xdr:sp>
    <xdr:clientData/>
  </xdr:oneCellAnchor>
  <xdr:twoCellAnchor>
    <xdr:from>
      <xdr:col>43</xdr:col>
      <xdr:colOff>521153</xdr:colOff>
      <xdr:row>26</xdr:row>
      <xdr:rowOff>81644</xdr:rowOff>
    </xdr:from>
    <xdr:to>
      <xdr:col>44</xdr:col>
      <xdr:colOff>330653</xdr:colOff>
      <xdr:row>27</xdr:row>
      <xdr:rowOff>43997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0609378" y="6091919"/>
          <a:ext cx="466725" cy="21952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457200</xdr:colOff>
          <xdr:row>7</xdr:row>
          <xdr:rowOff>289560</xdr:rowOff>
        </xdr:from>
        <xdr:to>
          <xdr:col>38</xdr:col>
          <xdr:colOff>441960</xdr:colOff>
          <xdr:row>9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449580</xdr:colOff>
          <xdr:row>8</xdr:row>
          <xdr:rowOff>30480</xdr:rowOff>
        </xdr:from>
        <xdr:to>
          <xdr:col>39</xdr:col>
          <xdr:colOff>373380</xdr:colOff>
          <xdr:row>8</xdr:row>
          <xdr:rowOff>480060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449580</xdr:colOff>
          <xdr:row>8</xdr:row>
          <xdr:rowOff>114300</xdr:rowOff>
        </xdr:from>
        <xdr:to>
          <xdr:col>40</xdr:col>
          <xdr:colOff>480060</xdr:colOff>
          <xdr:row>8</xdr:row>
          <xdr:rowOff>388620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449580</xdr:colOff>
          <xdr:row>8</xdr:row>
          <xdr:rowOff>76200</xdr:rowOff>
        </xdr:from>
        <xdr:to>
          <xdr:col>41</xdr:col>
          <xdr:colOff>487680</xdr:colOff>
          <xdr:row>8</xdr:row>
          <xdr:rowOff>464820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E718D-CC7F-44E4-8933-24E433FD2997}">
  <sheetPr codeName="Sheet1"/>
  <dimension ref="A1:AZ68"/>
  <sheetViews>
    <sheetView tabSelected="1" view="pageBreakPreview" zoomScale="69" zoomScaleNormal="80" zoomScaleSheetLayoutView="69" workbookViewId="0">
      <selection activeCell="D14" sqref="D14:F17"/>
    </sheetView>
  </sheetViews>
  <sheetFormatPr defaultColWidth="8.59765625" defaultRowHeight="18" outlineLevelCol="1"/>
  <cols>
    <col min="1" max="1" width="8.59765625" style="1"/>
    <col min="2" max="2" width="2.5" style="1" customWidth="1"/>
    <col min="3" max="3" width="9.59765625" style="1" customWidth="1"/>
    <col min="4" max="4" width="16.8984375" style="1" customWidth="1"/>
    <col min="5" max="5" width="7.5" style="1" customWidth="1"/>
    <col min="6" max="6" width="9.5" style="1" customWidth="1"/>
    <col min="7" max="8" width="8.3984375" style="1" customWidth="1"/>
    <col min="9" max="9" width="9.3984375" style="1" customWidth="1"/>
    <col min="10" max="10" width="8.3984375" style="1" customWidth="1"/>
    <col min="11" max="11" width="9.5" style="1" customWidth="1"/>
    <col min="12" max="12" width="8.3984375" style="1" customWidth="1"/>
    <col min="13" max="14" width="9.5" style="1" customWidth="1"/>
    <col min="15" max="15" width="10.3984375" style="267" customWidth="1"/>
    <col min="16" max="17" width="8.3984375" style="1" customWidth="1"/>
    <col min="18" max="18" width="10.8984375" style="1" customWidth="1"/>
    <col min="19" max="19" width="18.8984375" style="1" customWidth="1"/>
    <col min="20" max="20" width="5.3984375" style="416" customWidth="1"/>
    <col min="21" max="21" width="8.09765625" style="1" customWidth="1"/>
    <col min="22" max="22" width="8.59765625" style="1"/>
    <col min="23" max="26" width="8.59765625" style="1" hidden="1" customWidth="1" outlineLevel="1"/>
    <col min="27" max="27" width="8.59765625" style="13" hidden="1" customWidth="1" outlineLevel="1"/>
    <col min="28" max="28" width="8.59765625" style="325" hidden="1" customWidth="1" outlineLevel="1"/>
    <col min="29" max="31" width="8.59765625" style="1" hidden="1" customWidth="1" outlineLevel="1"/>
    <col min="32" max="32" width="8.59765625" style="325" hidden="1" customWidth="1" outlineLevel="1"/>
    <col min="33" max="36" width="8.59765625" style="1" hidden="1" customWidth="1" outlineLevel="1"/>
    <col min="37" max="37" width="8.59765625" style="1" collapsed="1"/>
    <col min="38" max="16384" width="8.59765625" style="1"/>
  </cols>
  <sheetData>
    <row r="1" spans="1:52" ht="10.5" customHeight="1">
      <c r="B1" s="484" t="s">
        <v>214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</row>
    <row r="2" spans="1:52" s="268" customFormat="1" ht="10.5" customHeight="1"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AB2" s="325"/>
      <c r="AF2" s="325"/>
    </row>
    <row r="3" spans="1:52" s="268" customFormat="1" ht="10.5" customHeight="1"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4"/>
      <c r="AB3" s="325"/>
      <c r="AF3" s="325"/>
    </row>
    <row r="4" spans="1:52" s="268" customFormat="1" ht="19.8">
      <c r="O4" s="485" t="s">
        <v>215</v>
      </c>
      <c r="P4" s="486"/>
      <c r="Q4" s="486"/>
      <c r="R4" s="486"/>
      <c r="S4" s="486"/>
      <c r="T4" s="486"/>
      <c r="V4" s="459" t="s">
        <v>384</v>
      </c>
      <c r="W4" s="459"/>
      <c r="X4" s="459"/>
      <c r="Y4" s="459"/>
      <c r="Z4" s="459"/>
      <c r="AA4" s="459"/>
      <c r="AB4" s="459"/>
      <c r="AC4" s="459"/>
      <c r="AD4" s="459"/>
      <c r="AE4" s="459"/>
      <c r="AF4" s="459"/>
      <c r="AG4" s="459"/>
      <c r="AH4" s="459"/>
      <c r="AI4" s="459"/>
      <c r="AJ4" s="459"/>
      <c r="AK4" s="459"/>
      <c r="AL4" s="459"/>
      <c r="AM4" s="459"/>
      <c r="AN4" s="459"/>
      <c r="AO4" s="459"/>
      <c r="AP4" s="459"/>
      <c r="AQ4" s="459"/>
      <c r="AR4" s="459"/>
      <c r="AS4" s="388"/>
      <c r="AT4" s="388"/>
      <c r="AU4" s="388"/>
      <c r="AV4" s="388"/>
      <c r="AW4" s="388"/>
      <c r="AX4" s="388"/>
      <c r="AY4" s="388"/>
      <c r="AZ4" s="388"/>
    </row>
    <row r="5" spans="1:52" s="268" customFormat="1" ht="29.4" customHeight="1" thickBot="1">
      <c r="C5" s="490" t="s">
        <v>219</v>
      </c>
      <c r="D5" s="490"/>
      <c r="E5" s="489"/>
      <c r="F5" s="489"/>
      <c r="G5" s="489"/>
      <c r="H5" s="489"/>
      <c r="I5" s="489"/>
      <c r="J5" s="489"/>
      <c r="K5" s="489"/>
      <c r="L5" s="487" t="s">
        <v>216</v>
      </c>
      <c r="M5" s="487"/>
      <c r="N5" s="488"/>
      <c r="O5" s="488"/>
      <c r="P5" s="488"/>
      <c r="Q5" s="488"/>
      <c r="R5" s="488"/>
      <c r="S5" s="488"/>
      <c r="T5" s="416"/>
      <c r="V5" s="459" t="b">
        <v>0</v>
      </c>
      <c r="W5" s="459"/>
      <c r="X5" s="459"/>
      <c r="Y5" s="459"/>
      <c r="Z5" s="459"/>
      <c r="AA5" s="459"/>
      <c r="AB5" s="459"/>
      <c r="AC5" s="459"/>
      <c r="AD5" s="459"/>
      <c r="AE5" s="459"/>
      <c r="AF5" s="459"/>
      <c r="AG5" s="459"/>
      <c r="AH5" s="459"/>
      <c r="AI5" s="459"/>
      <c r="AJ5" s="459"/>
      <c r="AK5" s="459"/>
      <c r="AL5" s="459"/>
      <c r="AM5" s="459"/>
      <c r="AN5" s="459"/>
      <c r="AO5" s="459"/>
      <c r="AP5" s="459"/>
      <c r="AQ5" s="459"/>
      <c r="AR5" s="459"/>
      <c r="AS5" s="460"/>
      <c r="AT5" s="460"/>
      <c r="AU5" s="460"/>
      <c r="AV5" s="460"/>
      <c r="AW5" s="460"/>
      <c r="AX5" s="460"/>
      <c r="AY5" s="460"/>
      <c r="AZ5" s="460"/>
    </row>
    <row r="6" spans="1:52" s="268" customFormat="1" ht="29.4" customHeight="1">
      <c r="C6" s="490"/>
      <c r="D6" s="490"/>
      <c r="E6" s="489"/>
      <c r="F6" s="489"/>
      <c r="G6" s="489"/>
      <c r="H6" s="489"/>
      <c r="I6" s="489"/>
      <c r="J6" s="489"/>
      <c r="K6" s="489"/>
      <c r="L6" s="487" t="s">
        <v>217</v>
      </c>
      <c r="M6" s="487"/>
      <c r="N6" s="488"/>
      <c r="O6" s="488"/>
      <c r="P6" s="488"/>
      <c r="Q6" s="488"/>
      <c r="R6" s="488"/>
      <c r="S6" s="488"/>
      <c r="T6" s="416"/>
      <c r="V6" s="461" t="s">
        <v>385</v>
      </c>
      <c r="W6" s="461"/>
      <c r="X6" s="461"/>
      <c r="Y6" s="461"/>
      <c r="Z6" s="461"/>
      <c r="AA6" s="461"/>
      <c r="AB6" s="461"/>
      <c r="AC6" s="461"/>
      <c r="AD6" s="461"/>
      <c r="AE6" s="461"/>
      <c r="AF6" s="461"/>
      <c r="AG6" s="461"/>
      <c r="AH6" s="461"/>
      <c r="AI6" s="461"/>
      <c r="AJ6" s="461"/>
      <c r="AK6" s="461"/>
      <c r="AL6" s="461"/>
      <c r="AM6" s="462">
        <v>0.2</v>
      </c>
      <c r="AN6" s="463"/>
      <c r="AO6" s="481" t="s">
        <v>386</v>
      </c>
      <c r="AP6" s="482"/>
      <c r="AQ6" s="482"/>
      <c r="AR6" s="482"/>
      <c r="AS6" s="482"/>
      <c r="AT6" s="482"/>
      <c r="AU6" s="388"/>
      <c r="AV6" s="388"/>
      <c r="AW6" s="388"/>
      <c r="AX6" s="388"/>
      <c r="AY6" s="388"/>
      <c r="AZ6" s="388"/>
    </row>
    <row r="7" spans="1:52" s="268" customFormat="1" ht="29.4" customHeight="1" thickBot="1">
      <c r="C7" s="490"/>
      <c r="D7" s="490"/>
      <c r="E7" s="489"/>
      <c r="F7" s="489"/>
      <c r="G7" s="489"/>
      <c r="H7" s="489"/>
      <c r="I7" s="489"/>
      <c r="J7" s="489"/>
      <c r="K7" s="489"/>
      <c r="L7" s="487" t="s">
        <v>218</v>
      </c>
      <c r="M7" s="487"/>
      <c r="N7" s="488"/>
      <c r="O7" s="488"/>
      <c r="P7" s="488"/>
      <c r="Q7" s="488"/>
      <c r="R7" s="488"/>
      <c r="S7" s="488"/>
      <c r="T7" s="416"/>
      <c r="V7" s="461"/>
      <c r="W7" s="461"/>
      <c r="X7" s="461"/>
      <c r="Y7" s="461"/>
      <c r="Z7" s="461"/>
      <c r="AA7" s="461"/>
      <c r="AB7" s="461"/>
      <c r="AC7" s="461"/>
      <c r="AD7" s="461"/>
      <c r="AE7" s="461"/>
      <c r="AF7" s="461"/>
      <c r="AG7" s="461"/>
      <c r="AH7" s="461"/>
      <c r="AI7" s="461"/>
      <c r="AJ7" s="461"/>
      <c r="AK7" s="461"/>
      <c r="AL7" s="461"/>
      <c r="AM7" s="464"/>
      <c r="AN7" s="465"/>
      <c r="AO7" s="481"/>
      <c r="AP7" s="482"/>
      <c r="AQ7" s="482"/>
      <c r="AR7" s="482"/>
      <c r="AS7" s="482"/>
      <c r="AT7" s="482"/>
      <c r="AU7" s="388"/>
      <c r="AV7" s="388"/>
      <c r="AW7" s="388"/>
      <c r="AX7" s="388"/>
      <c r="AY7" s="388"/>
      <c r="AZ7" s="388"/>
    </row>
    <row r="8" spans="1:52" s="268" customFormat="1" ht="7.5" customHeight="1">
      <c r="T8" s="416"/>
      <c r="V8" s="388"/>
      <c r="W8" s="388"/>
      <c r="X8" s="388"/>
      <c r="Y8" s="388"/>
      <c r="Z8" s="388"/>
      <c r="AA8" s="388"/>
      <c r="AB8" s="388"/>
      <c r="AC8" s="388"/>
      <c r="AD8" s="388"/>
      <c r="AE8" s="388"/>
      <c r="AF8" s="388"/>
      <c r="AG8" s="388"/>
      <c r="AH8" s="388"/>
      <c r="AI8" s="388"/>
      <c r="AJ8" s="388"/>
      <c r="AK8" s="388"/>
      <c r="AL8" s="388"/>
      <c r="AM8" s="388"/>
      <c r="AN8" s="388"/>
      <c r="AO8" s="388"/>
      <c r="AP8" s="388"/>
      <c r="AQ8" s="388"/>
      <c r="AR8" s="388"/>
      <c r="AS8" s="388"/>
      <c r="AT8" s="388"/>
      <c r="AU8" s="388"/>
      <c r="AV8" s="388"/>
      <c r="AW8" s="388"/>
      <c r="AX8" s="388"/>
      <c r="AY8" s="388"/>
      <c r="AZ8" s="388"/>
    </row>
    <row r="9" spans="1:52" s="268" customFormat="1" ht="97.5" customHeight="1">
      <c r="C9" s="518"/>
      <c r="D9" s="519"/>
      <c r="E9" s="519"/>
      <c r="F9" s="519"/>
      <c r="G9" s="519"/>
      <c r="H9" s="519"/>
      <c r="I9" s="519"/>
      <c r="J9" s="519"/>
      <c r="K9" s="519"/>
      <c r="L9" s="519"/>
      <c r="M9" s="519"/>
      <c r="N9" s="519"/>
      <c r="O9" s="519"/>
      <c r="P9" s="519"/>
      <c r="Q9" s="519"/>
      <c r="R9" s="519"/>
      <c r="S9" s="520"/>
      <c r="T9" s="416"/>
      <c r="V9" s="483" t="s">
        <v>387</v>
      </c>
      <c r="W9" s="483"/>
      <c r="X9" s="483"/>
      <c r="Y9" s="483"/>
      <c r="Z9" s="483"/>
      <c r="AA9" s="483"/>
      <c r="AB9" s="483"/>
      <c r="AC9" s="483"/>
      <c r="AD9" s="483"/>
      <c r="AE9" s="483"/>
      <c r="AF9" s="483"/>
      <c r="AG9" s="483"/>
      <c r="AH9" s="483"/>
      <c r="AI9" s="483"/>
      <c r="AJ9" s="483"/>
      <c r="AK9" s="483"/>
      <c r="AL9" s="483"/>
      <c r="AM9" s="389" t="s">
        <v>72</v>
      </c>
      <c r="AN9" s="389" t="s">
        <v>66</v>
      </c>
      <c r="AO9" s="389" t="s">
        <v>67</v>
      </c>
      <c r="AP9" s="389" t="s">
        <v>65</v>
      </c>
      <c r="AQ9" s="510" t="s">
        <v>388</v>
      </c>
      <c r="AR9" s="510"/>
      <c r="AS9" s="510"/>
      <c r="AT9" s="390"/>
      <c r="AU9" s="434" t="b">
        <v>0</v>
      </c>
      <c r="AV9" s="434" t="b">
        <v>0</v>
      </c>
      <c r="AW9" s="435" t="b">
        <v>0</v>
      </c>
      <c r="AX9" s="435" t="b">
        <v>0</v>
      </c>
      <c r="AY9" s="388"/>
      <c r="AZ9" s="388"/>
    </row>
    <row r="10" spans="1:52" ht="6.6" customHeight="1" thickBot="1"/>
    <row r="11" spans="1:52" ht="19.8">
      <c r="C11" s="521" t="s">
        <v>0</v>
      </c>
      <c r="D11" s="524" t="s">
        <v>1</v>
      </c>
      <c r="E11" s="466" t="s">
        <v>2</v>
      </c>
      <c r="F11" s="471" t="s">
        <v>3</v>
      </c>
      <c r="G11" s="305" t="s">
        <v>4</v>
      </c>
      <c r="H11" s="276" t="s">
        <v>7</v>
      </c>
      <c r="I11" s="473" t="s">
        <v>5</v>
      </c>
      <c r="J11" s="308" t="s">
        <v>7</v>
      </c>
      <c r="K11" s="471" t="s">
        <v>6</v>
      </c>
      <c r="L11" s="308" t="s">
        <v>7</v>
      </c>
      <c r="M11" s="277" t="s">
        <v>8</v>
      </c>
      <c r="N11" s="278" t="s">
        <v>9</v>
      </c>
      <c r="O11" s="471" t="s">
        <v>14</v>
      </c>
      <c r="P11" s="479" t="s">
        <v>212</v>
      </c>
      <c r="Q11" s="479" t="s">
        <v>15</v>
      </c>
      <c r="R11" s="475" t="s">
        <v>208</v>
      </c>
      <c r="S11" s="477" t="s">
        <v>19</v>
      </c>
      <c r="AG11" s="468" t="s">
        <v>164</v>
      </c>
      <c r="AH11" s="469"/>
      <c r="AI11" s="470"/>
      <c r="AJ11" s="266" t="s">
        <v>201</v>
      </c>
    </row>
    <row r="12" spans="1:52" ht="11.1" customHeight="1">
      <c r="C12" s="522"/>
      <c r="D12" s="525"/>
      <c r="E12" s="467"/>
      <c r="F12" s="472"/>
      <c r="G12" s="306" t="s">
        <v>81</v>
      </c>
      <c r="H12" s="280" t="s">
        <v>77</v>
      </c>
      <c r="I12" s="474"/>
      <c r="J12" s="309" t="s">
        <v>78</v>
      </c>
      <c r="K12" s="472"/>
      <c r="L12" s="309" t="s">
        <v>79</v>
      </c>
      <c r="M12" s="279" t="s">
        <v>80</v>
      </c>
      <c r="N12" s="281" t="s">
        <v>82</v>
      </c>
      <c r="O12" s="472"/>
      <c r="P12" s="480"/>
      <c r="Q12" s="480"/>
      <c r="R12" s="476"/>
      <c r="S12" s="478"/>
      <c r="AG12" s="235" t="s">
        <v>165</v>
      </c>
      <c r="AH12" s="235" t="s">
        <v>166</v>
      </c>
      <c r="AI12" s="235" t="s">
        <v>167</v>
      </c>
      <c r="AJ12" s="235" t="s">
        <v>168</v>
      </c>
    </row>
    <row r="13" spans="1:52" ht="20.399999999999999" thickBot="1">
      <c r="C13" s="523"/>
      <c r="D13" s="526"/>
      <c r="E13" s="330" t="s">
        <v>340</v>
      </c>
      <c r="F13" s="282" t="s">
        <v>10</v>
      </c>
      <c r="G13" s="307" t="s">
        <v>10</v>
      </c>
      <c r="H13" s="284" t="s">
        <v>13</v>
      </c>
      <c r="I13" s="283" t="s">
        <v>11</v>
      </c>
      <c r="J13" s="310" t="s">
        <v>13</v>
      </c>
      <c r="K13" s="282" t="s">
        <v>12</v>
      </c>
      <c r="L13" s="310" t="s">
        <v>13</v>
      </c>
      <c r="M13" s="283" t="s">
        <v>13</v>
      </c>
      <c r="N13" s="285" t="s">
        <v>13</v>
      </c>
      <c r="O13" s="282" t="s">
        <v>17</v>
      </c>
      <c r="P13" s="307" t="s">
        <v>17</v>
      </c>
      <c r="Q13" s="307" t="s">
        <v>18</v>
      </c>
      <c r="R13" s="284" t="s">
        <v>17</v>
      </c>
      <c r="S13" s="284" t="s">
        <v>16</v>
      </c>
      <c r="U13" s="1" t="s">
        <v>351</v>
      </c>
      <c r="W13" s="7" t="s">
        <v>83</v>
      </c>
      <c r="X13" s="7" t="s">
        <v>84</v>
      </c>
      <c r="Y13" s="7" t="s">
        <v>85</v>
      </c>
      <c r="Z13" s="12" t="s">
        <v>130</v>
      </c>
      <c r="AA13" s="12" t="s">
        <v>337</v>
      </c>
      <c r="AB13" s="12" t="s">
        <v>338</v>
      </c>
      <c r="AC13" s="12" t="s">
        <v>131</v>
      </c>
      <c r="AD13" s="12" t="s">
        <v>195</v>
      </c>
      <c r="AE13" s="12" t="s">
        <v>196</v>
      </c>
      <c r="AF13" s="12" t="s">
        <v>339</v>
      </c>
      <c r="AG13" s="236" t="s">
        <v>169</v>
      </c>
      <c r="AH13" s="236" t="s">
        <v>170</v>
      </c>
      <c r="AI13" s="236" t="s">
        <v>171</v>
      </c>
      <c r="AJ13" s="236" t="s">
        <v>172</v>
      </c>
    </row>
    <row r="14" spans="1:52" ht="20.399999999999999" customHeight="1">
      <c r="A14" s="329">
        <v>1</v>
      </c>
      <c r="C14" s="419"/>
      <c r="D14" s="417"/>
      <c r="E14" s="441"/>
      <c r="F14" s="419"/>
      <c r="G14" s="292" t="str">
        <f>IF(F14="","",W14*6+IF(X14=0,0,IF(X14=1,1,IF(X14&lt;5,2,IF(X14&lt;11,3,IF(X14&lt;16,4,IF(X14&lt;21,5,IF(X14&lt;30,6,0))))))))</f>
        <v/>
      </c>
      <c r="H14" s="458" t="str">
        <f>IF(F14="","",$AM$6)</f>
        <v/>
      </c>
      <c r="I14" s="421"/>
      <c r="J14" s="297" t="str">
        <f>IF(I14="","",IF(I14&lt;10,ROUND(42*(I14^0.33)/60,1),IF(I14&lt;600,ROUND(19*(I14^0.67)/60,1),ROUND(2.8*(I14^0.97)/60,1))))</f>
        <v/>
      </c>
      <c r="K14" s="419"/>
      <c r="L14" s="299" t="str">
        <f>IF(K14="","",IF(K14&lt;31,ROUND(26*(K14^0.36)/60,1),IF(K14&lt;301,ROUND(13*(K14^0.56)/60,1),ROUND(6.9*(K14^0.67)/60,1))))</f>
        <v/>
      </c>
      <c r="M14" s="423"/>
      <c r="N14" s="301" t="str">
        <f>IF(_xlfn.AGGREGATE(9,3,Y14,J14,L14,M14)=0,"",_xlfn.AGGREGATE(9,3,Y14,J14,L14,M14))</f>
        <v/>
      </c>
      <c r="O14" s="425"/>
      <c r="P14" s="323" t="str">
        <f>IF(D14="","",IFERROR(VLOOKUP(AD14,入力補助!$U$3:$V$94,2,FALSE),""))</f>
        <v/>
      </c>
      <c r="Q14" s="293" t="str">
        <f>IF(AJ14="",IFERROR(IF(AI14&lt;10,ROUND(AI14,1),ROUND(AI14,0)),""),"")</f>
        <v/>
      </c>
      <c r="R14" s="427"/>
      <c r="S14" s="303" t="str">
        <f>IF(D14="","",IF(ISNUMBER(R14)=TRUE,R14,IF(ISNUMBER(AJ14)=TRUE,ROUND(AJ14,2),IF(ISNUMBER(P14)=TRUE,ROUND(P14*Q14/1000,2),ROUND(O14*Q14/1000,2)))))</f>
        <v/>
      </c>
      <c r="T14" s="416" t="str">
        <f>IF(D14="SUS","S",IF(D14="VSP","V",IF(D14="COP","C","")))</f>
        <v/>
      </c>
      <c r="U14" s="339" t="str">
        <f>IFERROR(IF(AND(ROUND(AH14,1)&gt;2,OR(D14="Pe",D14="PeH",D14="HPPE",D14="SUS",D14="PBP",D14="VSP",D14="XPe",D14="VP",D14="COP",D14="HIVP",D14="鋳鉄管",D14="給水管")),"Over",""),"")</f>
        <v/>
      </c>
      <c r="W14" s="1">
        <f>ROUNDDOWN(F14/30,0)</f>
        <v>0</v>
      </c>
      <c r="X14" s="1">
        <f>F14-W14*30</f>
        <v>0</v>
      </c>
      <c r="Y14" s="1" t="e">
        <f>G14*H14</f>
        <v>#VALUE!</v>
      </c>
      <c r="Z14" s="1" t="e">
        <f>VLOOKUP(D14,入力補助!$C$2:$Q$44,14,FALSE)</f>
        <v>#N/A</v>
      </c>
      <c r="AA14" s="13" t="e">
        <f>VLOOKUP(D14,入力補助!$C$2:$Q$44,15,FALSE)</f>
        <v>#N/A</v>
      </c>
      <c r="AB14" s="325" t="e">
        <f>VLOOKUP(D14,入力補助!$C$2:$R$44,16,FALSE)</f>
        <v>#N/A</v>
      </c>
      <c r="AC14" s="1" t="str">
        <f>IF(LEN(E14)=3,E14,0&amp;E14)</f>
        <v>0</v>
      </c>
      <c r="AD14" s="1" t="e">
        <f>Z14&amp;AC14</f>
        <v>#N/A</v>
      </c>
      <c r="AE14" s="13" t="e">
        <f>AA14&amp;AC14</f>
        <v>#N/A</v>
      </c>
      <c r="AF14" s="325" t="e">
        <f>AB14&amp;AC14</f>
        <v>#N/A</v>
      </c>
      <c r="AG14" s="237" t="e">
        <f>IF(AE14="","",VLOOKUP(IF(OR(AND($AV$9=TRUE,$AN$9=D14),AND($AW$9=TRUE,$AO$9=D14),AND($AX$9=TRUE,$AP$9=D14,E14&lt;50),AND($AU$9=TRUE,$AM$9=D14)),AE14,AF14),入力補助!$Z$3:$AA$94,2,FALSE))</f>
        <v>#N/A</v>
      </c>
      <c r="AH14" s="238" t="str">
        <f>IF(N14="","",((N14/1000)/((AG14/1000)^2*3.14/4)))</f>
        <v/>
      </c>
      <c r="AI14" s="237" t="str">
        <f>IF(N14="","",IF(AG14&gt;60,ROUND((10.666*110^-1.85*(AG14/1000)^-4.87*(N14/1000)^1.85*1)*1000,1),ROUND(((0.0126+((0.01739-0.1087*(AG14/1000))/SQRT(AH14)))*(1/(AG14/1000))*((AH14^2)/(2*9.8))*1000),2)))</f>
        <v/>
      </c>
      <c r="AJ14" s="239" t="str">
        <f>IFERROR(VLOOKUP(N14,コード表!$B$6:$BJ$3006,MATCH(AD14,コード表!$B$6:$BJ$6,0)),"")</f>
        <v/>
      </c>
    </row>
    <row r="15" spans="1:52" ht="20.399999999999999" customHeight="1">
      <c r="A15" s="329">
        <v>2</v>
      </c>
      <c r="C15" s="420"/>
      <c r="D15" s="418"/>
      <c r="E15" s="442"/>
      <c r="F15" s="420"/>
      <c r="G15" s="294" t="str">
        <f>IF(D15="","",IF(F15="",G14,W15*6+IF(X15=0,0,IF(X15=1,1,IF(X15&lt;5,2,IF(X15&lt;11,3,IF(X15&lt;16,4,IF(X15&lt;21,5,IF(X15&lt;30,6,0)))))))))</f>
        <v/>
      </c>
      <c r="H15" s="296" t="str">
        <f>IF(G15="","",$AM$6)</f>
        <v/>
      </c>
      <c r="I15" s="422"/>
      <c r="J15" s="298" t="str">
        <f>IF(D15="","",IF(I15="",J14,IF(I15&lt;10,ROUND(42*(I15^0.33)/60,1),IF(I15&lt;600,ROUND(19*(I15^0.67)/60,1),ROUND(2.8*(I15^0.97)/60,1)))))</f>
        <v/>
      </c>
      <c r="K15" s="420"/>
      <c r="L15" s="300" t="str">
        <f>IF(D15="","",IF(K15="",L14,IF(K15&lt;31,ROUND(26*(K15^0.36)/60,1),IF(K15&lt;301,ROUND(13*(K15^0.56)/60,1),ROUND(6.9*(K15^0.67)/60,1)))))</f>
        <v/>
      </c>
      <c r="M15" s="424"/>
      <c r="N15" s="302" t="str">
        <f>IF(_xlfn.AGGREGATE(9,3,Y15,J15,L15,M15)=0,"",_xlfn.AGGREGATE(9,3,Y15,J15,L15,M15))</f>
        <v/>
      </c>
      <c r="O15" s="426"/>
      <c r="P15" s="324" t="str">
        <f>IF(D15="","",IFERROR(VLOOKUP(AD15,入力補助!$U$3:$V$94,2,FALSE),""))</f>
        <v/>
      </c>
      <c r="Q15" s="295" t="str">
        <f t="shared" ref="Q15:Q53" si="0">IF(AJ15="",IFERROR(IF(AI15&lt;10,ROUND(AI15,1),ROUND(AI15,0)),""),"")</f>
        <v/>
      </c>
      <c r="R15" s="428"/>
      <c r="S15" s="304" t="str">
        <f t="shared" ref="S15:S52" si="1">IF(D15="","",IF(ISNUMBER(R15)=TRUE,R15,IF(ISNUMBER(AJ15)=TRUE,ROUND(AJ15,2),IF(ISNUMBER(P15)=TRUE,ROUND(P15*Q15/1000,2),ROUND(O15*Q15/1000,2)))))</f>
        <v/>
      </c>
      <c r="T15" s="416" t="str">
        <f t="shared" ref="T15:T52" si="2">IF(D15="SUS","S",IF(D15="VSP","V",IF(D15="COP","C","")))</f>
        <v/>
      </c>
      <c r="U15" s="339" t="str">
        <f t="shared" ref="U15:U53" si="3">IFERROR(IF(AND(ROUND(AH15,1)&gt;2,OR(D15="Pe",D15="PeH",D15="HPPE",D15="SUS",D15="PBP",D15="VSP",D15="XPe",D15="VP",D15="COP",D15="HIVP",D15="鋳鉄管",D15="給水管")),"Over",""),"")</f>
        <v/>
      </c>
      <c r="V15" s="267"/>
      <c r="W15" s="267">
        <f>ROUNDDOWN(F15/30,0)</f>
        <v>0</v>
      </c>
      <c r="X15" s="267">
        <f>F15-W15*30</f>
        <v>0</v>
      </c>
      <c r="Y15" s="267" t="e">
        <f>G15*H15</f>
        <v>#VALUE!</v>
      </c>
      <c r="Z15" s="322" t="e">
        <f>VLOOKUP(D15,入力補助!$C$2:$Q$44,14,FALSE)</f>
        <v>#N/A</v>
      </c>
      <c r="AA15" s="322" t="e">
        <f>VLOOKUP(D15,入力補助!$C$2:$Q$44,15,FALSE)</f>
        <v>#N/A</v>
      </c>
      <c r="AB15" s="325" t="e">
        <f>VLOOKUP(D15,入力補助!$C$2:$R$44,16,FALSE)</f>
        <v>#N/A</v>
      </c>
      <c r="AC15" s="267" t="str">
        <f>IF(LEN(E15)=3,E15,0&amp;E15)</f>
        <v>0</v>
      </c>
      <c r="AD15" s="267" t="e">
        <f>Z15&amp;AC15</f>
        <v>#N/A</v>
      </c>
      <c r="AE15" s="267" t="e">
        <f>AA15&amp;AC15</f>
        <v>#N/A</v>
      </c>
      <c r="AF15" s="325" t="e">
        <f t="shared" ref="AF15:AF53" si="4">AB15&amp;AC15</f>
        <v>#N/A</v>
      </c>
      <c r="AG15" s="237" t="e">
        <f>IF(AE15="","",VLOOKUP(IF(OR(AND($AV$9=TRUE,$AN$9=D15),AND($AW$9=TRUE,$AO$9=D15),AND($AX$9=TRUE,$AP$9=D15,E15&lt;50),AND($AU$9=TRUE,$AM$9=D15)),AE15,AF15),入力補助!$Z$3:$AA$94,2,FALSE))</f>
        <v>#N/A</v>
      </c>
      <c r="AH15" s="238" t="str">
        <f>IF(N15="","",((N15/1000)/((AG15/1000)^2*3.14/4)))</f>
        <v/>
      </c>
      <c r="AI15" s="237" t="str">
        <f t="shared" ref="AI15:AI54" si="5">IF(N15="","",IF(AG15&gt;60,ROUND((10.666*110^-1.85*(AG15/1000)^-4.87*(N15/1000)^1.85*1)*1000,1),ROUND(((0.0126+((0.01739-0.1087*(AG15/1000))/SQRT(AH15)))*(1/(AG15/1000))*((AH15^2)/(2*9.8))*1000),2)))</f>
        <v/>
      </c>
      <c r="AJ15" s="239" t="str">
        <f>IFERROR(VLOOKUP(N15,コード表!$B$6:$BJ$3006,MATCH(AD15,コード表!$B$6:$BJ$6,0)),"")</f>
        <v/>
      </c>
    </row>
    <row r="16" spans="1:52" ht="20.399999999999999" customHeight="1">
      <c r="A16" s="329">
        <v>3</v>
      </c>
      <c r="C16" s="420"/>
      <c r="D16" s="418"/>
      <c r="E16" s="442"/>
      <c r="F16" s="420"/>
      <c r="G16" s="294" t="str">
        <f t="shared" ref="G16:G52" si="6">IF(D16="","",IF(F16="",G15,W16*6+IF(X16=0,0,IF(X16=1,1,IF(X16&lt;5,2,IF(X16&lt;11,3,IF(X16&lt;16,4,IF(X16&lt;21,5,IF(X16&lt;30,6,0)))))))))</f>
        <v/>
      </c>
      <c r="H16" s="296" t="str">
        <f t="shared" ref="H16:H53" si="7">IF(G16="","",$AM$6)</f>
        <v/>
      </c>
      <c r="I16" s="422"/>
      <c r="J16" s="298" t="str">
        <f t="shared" ref="J16:J52" si="8">IF(D16="","",IF(I16="",J15,IF(I16&lt;10,ROUND(42*(I16^0.33)/60,1),IF(I16&lt;600,ROUND(19*(I16^0.67)/60,1),ROUND(2.8*(I16^0.97)/60,1)))))</f>
        <v/>
      </c>
      <c r="K16" s="420"/>
      <c r="L16" s="300" t="str">
        <f t="shared" ref="L16:L53" si="9">IF(D16="","",IF(K16="",L15,IF(K16&lt;31,ROUND(26*(K16^0.36)/60,1),IF(K16&lt;301,ROUND(13*(K16^0.56)/60,1),ROUND(6.9*(K16^0.67)/60,1)))))</f>
        <v/>
      </c>
      <c r="M16" s="424"/>
      <c r="N16" s="302" t="str">
        <f t="shared" ref="N16:N52" si="10">IF(_xlfn.AGGREGATE(9,3,Y16,J16,L16,M16)=0,"",_xlfn.AGGREGATE(9,3,Y16,J16,L16,M16))</f>
        <v/>
      </c>
      <c r="O16" s="426"/>
      <c r="P16" s="324" t="str">
        <f>IF(D16="","",IFERROR(VLOOKUP(AD16,入力補助!$U$3:$V$94,2,FALSE),""))</f>
        <v/>
      </c>
      <c r="Q16" s="295" t="str">
        <f t="shared" si="0"/>
        <v/>
      </c>
      <c r="R16" s="428"/>
      <c r="S16" s="304" t="str">
        <f t="shared" si="1"/>
        <v/>
      </c>
      <c r="T16" s="416" t="str">
        <f t="shared" si="2"/>
        <v/>
      </c>
      <c r="U16" s="339" t="str">
        <f t="shared" si="3"/>
        <v/>
      </c>
      <c r="V16" s="268"/>
      <c r="W16" s="268">
        <f t="shared" ref="W16:W52" si="11">ROUNDDOWN(F16/30,0)</f>
        <v>0</v>
      </c>
      <c r="X16" s="268">
        <f t="shared" ref="X16:X52" si="12">F16-W16*30</f>
        <v>0</v>
      </c>
      <c r="Y16" s="268" t="e">
        <f t="shared" ref="Y16:Y52" si="13">G16*H16</f>
        <v>#VALUE!</v>
      </c>
      <c r="Z16" s="322" t="e">
        <f>VLOOKUP(D16,入力補助!$C$2:$Q$44,14,FALSE)</f>
        <v>#N/A</v>
      </c>
      <c r="AA16" s="322" t="e">
        <f>VLOOKUP(D16,入力補助!$C$2:$Q$44,15,FALSE)</f>
        <v>#N/A</v>
      </c>
      <c r="AB16" s="325" t="e">
        <f>VLOOKUP(D16,入力補助!$C$2:$R$44,16,FALSE)</f>
        <v>#N/A</v>
      </c>
      <c r="AC16" s="268" t="str">
        <f t="shared" ref="AC16:AC52" si="14">IF(LEN(E16)=3,E16,0&amp;E16)</f>
        <v>0</v>
      </c>
      <c r="AD16" s="268" t="e">
        <f>Z16&amp;AC16</f>
        <v>#N/A</v>
      </c>
      <c r="AE16" s="268" t="e">
        <f t="shared" ref="AE16:AE52" si="15">AA16&amp;AC16</f>
        <v>#N/A</v>
      </c>
      <c r="AF16" s="325" t="e">
        <f t="shared" si="4"/>
        <v>#N/A</v>
      </c>
      <c r="AG16" s="237" t="e">
        <f>IF(AE16="","",VLOOKUP(IF(OR(AND($AV$9=TRUE,$AN$9=D16),AND($AW$9=TRUE,$AO$9=D16),AND($AX$9=TRUE,$AP$9=D16,E16&lt;50),AND($AU$9=TRUE,$AM$9=D16)),AE16,AF16),入力補助!$Z$3:$AA$94,2,FALSE))</f>
        <v>#N/A</v>
      </c>
      <c r="AH16" s="238" t="str">
        <f t="shared" ref="AH16:AH52" si="16">IF(N16="","",((N16/1000)/((AG16/1000)^2*3.14/4)))</f>
        <v/>
      </c>
      <c r="AI16" s="237" t="str">
        <f t="shared" si="5"/>
        <v/>
      </c>
      <c r="AJ16" s="239" t="str">
        <f>IFERROR(VLOOKUP(N16,コード表!$B$6:$BJ$3006,MATCH(AD16,コード表!$B$6:$BJ$6,0)),"")</f>
        <v/>
      </c>
    </row>
    <row r="17" spans="1:36" ht="20.399999999999999" customHeight="1">
      <c r="A17" s="329">
        <v>4</v>
      </c>
      <c r="C17" s="420"/>
      <c r="D17" s="418"/>
      <c r="E17" s="442"/>
      <c r="F17" s="420"/>
      <c r="G17" s="294" t="str">
        <f t="shared" si="6"/>
        <v/>
      </c>
      <c r="H17" s="296" t="str">
        <f t="shared" si="7"/>
        <v/>
      </c>
      <c r="I17" s="422"/>
      <c r="J17" s="298" t="str">
        <f t="shared" si="8"/>
        <v/>
      </c>
      <c r="K17" s="420"/>
      <c r="L17" s="300" t="str">
        <f t="shared" si="9"/>
        <v/>
      </c>
      <c r="M17" s="424"/>
      <c r="N17" s="302" t="str">
        <f t="shared" si="10"/>
        <v/>
      </c>
      <c r="O17" s="426"/>
      <c r="P17" s="324" t="str">
        <f>IF(D17="","",IFERROR(VLOOKUP(AD17,入力補助!$U$3:$V$94,2,FALSE),""))</f>
        <v/>
      </c>
      <c r="Q17" s="295" t="str">
        <f t="shared" si="0"/>
        <v/>
      </c>
      <c r="R17" s="428"/>
      <c r="S17" s="304" t="str">
        <f t="shared" si="1"/>
        <v/>
      </c>
      <c r="T17" s="416" t="str">
        <f t="shared" si="2"/>
        <v/>
      </c>
      <c r="U17" s="339" t="str">
        <f t="shared" si="3"/>
        <v/>
      </c>
      <c r="V17" s="268"/>
      <c r="W17" s="268">
        <f t="shared" si="11"/>
        <v>0</v>
      </c>
      <c r="X17" s="268">
        <f t="shared" si="12"/>
        <v>0</v>
      </c>
      <c r="Y17" s="268" t="e">
        <f t="shared" si="13"/>
        <v>#VALUE!</v>
      </c>
      <c r="Z17" s="322" t="e">
        <f>VLOOKUP(D17,入力補助!$C$2:$Q$44,14,FALSE)</f>
        <v>#N/A</v>
      </c>
      <c r="AA17" s="322" t="e">
        <f>VLOOKUP(D17,入力補助!$C$2:$Q$44,15,FALSE)</f>
        <v>#N/A</v>
      </c>
      <c r="AB17" s="325" t="e">
        <f>VLOOKUP(D17,入力補助!$C$2:$R$44,16,FALSE)</f>
        <v>#N/A</v>
      </c>
      <c r="AC17" s="268" t="str">
        <f t="shared" si="14"/>
        <v>0</v>
      </c>
      <c r="AD17" s="268" t="e">
        <f t="shared" ref="AD17:AD52" si="17">Z17&amp;AC17</f>
        <v>#N/A</v>
      </c>
      <c r="AE17" s="268" t="e">
        <f t="shared" si="15"/>
        <v>#N/A</v>
      </c>
      <c r="AF17" s="325" t="e">
        <f t="shared" si="4"/>
        <v>#N/A</v>
      </c>
      <c r="AG17" s="237" t="e">
        <f>IF(AE17="","",VLOOKUP(IF(OR(AND($AV$9=TRUE,$AN$9=D17),AND($AW$9=TRUE,$AO$9=D17),AND($AX$9=TRUE,$AP$9=D17,E17&lt;50),AND($AU$9=TRUE,$AM$9=D17)),AE17,AF17),入力補助!$Z$3:$AA$94,2,FALSE))</f>
        <v>#N/A</v>
      </c>
      <c r="AH17" s="238" t="str">
        <f t="shared" si="16"/>
        <v/>
      </c>
      <c r="AI17" s="237" t="str">
        <f t="shared" si="5"/>
        <v/>
      </c>
      <c r="AJ17" s="239" t="str">
        <f>IFERROR(VLOOKUP(N17,コード表!$B$6:$BJ$3006,MATCH(AD17,コード表!$B$6:$BJ$6,0)),"")</f>
        <v/>
      </c>
    </row>
    <row r="18" spans="1:36" ht="20.399999999999999" customHeight="1">
      <c r="A18" s="329">
        <v>5</v>
      </c>
      <c r="C18" s="420"/>
      <c r="D18" s="418"/>
      <c r="E18" s="442"/>
      <c r="F18" s="420"/>
      <c r="G18" s="294" t="str">
        <f t="shared" si="6"/>
        <v/>
      </c>
      <c r="H18" s="296" t="str">
        <f t="shared" si="7"/>
        <v/>
      </c>
      <c r="I18" s="422"/>
      <c r="J18" s="298" t="str">
        <f t="shared" si="8"/>
        <v/>
      </c>
      <c r="K18" s="420"/>
      <c r="L18" s="300" t="str">
        <f t="shared" si="9"/>
        <v/>
      </c>
      <c r="M18" s="424"/>
      <c r="N18" s="302" t="str">
        <f t="shared" si="10"/>
        <v/>
      </c>
      <c r="O18" s="426"/>
      <c r="P18" s="324" t="str">
        <f>IF(D18="","",IFERROR(VLOOKUP(AD18,入力補助!$U$3:$V$94,2,FALSE),""))</f>
        <v/>
      </c>
      <c r="Q18" s="295" t="str">
        <f t="shared" si="0"/>
        <v/>
      </c>
      <c r="R18" s="428"/>
      <c r="S18" s="304" t="str">
        <f t="shared" si="1"/>
        <v/>
      </c>
      <c r="T18" s="416" t="str">
        <f t="shared" si="2"/>
        <v/>
      </c>
      <c r="U18" s="339" t="str">
        <f t="shared" si="3"/>
        <v/>
      </c>
      <c r="V18" s="268"/>
      <c r="W18" s="268">
        <f t="shared" si="11"/>
        <v>0</v>
      </c>
      <c r="X18" s="268">
        <f t="shared" si="12"/>
        <v>0</v>
      </c>
      <c r="Y18" s="268" t="e">
        <f t="shared" si="13"/>
        <v>#VALUE!</v>
      </c>
      <c r="Z18" s="322" t="e">
        <f>VLOOKUP(D18,入力補助!$C$2:$Q$44,14,FALSE)</f>
        <v>#N/A</v>
      </c>
      <c r="AA18" s="322" t="e">
        <f>VLOOKUP(D18,入力補助!$C$2:$Q$44,15,FALSE)</f>
        <v>#N/A</v>
      </c>
      <c r="AB18" s="325" t="e">
        <f>VLOOKUP(D18,入力補助!$C$2:$R$44,16,FALSE)</f>
        <v>#N/A</v>
      </c>
      <c r="AC18" s="268" t="str">
        <f t="shared" si="14"/>
        <v>0</v>
      </c>
      <c r="AD18" s="268" t="e">
        <f t="shared" si="17"/>
        <v>#N/A</v>
      </c>
      <c r="AE18" s="268" t="e">
        <f t="shared" si="15"/>
        <v>#N/A</v>
      </c>
      <c r="AF18" s="325" t="e">
        <f t="shared" si="4"/>
        <v>#N/A</v>
      </c>
      <c r="AG18" s="237" t="e">
        <f>IF(AE18="","",VLOOKUP(IF(OR(AND($AV$9=TRUE,$AN$9=D18),AND($AW$9=TRUE,$AO$9=D18),AND($AX$9=TRUE,$AP$9=D18,E18&lt;50),AND($AU$9=TRUE,$AM$9=D18)),AE18,AF18),入力補助!$Z$3:$AA$94,2,FALSE))</f>
        <v>#N/A</v>
      </c>
      <c r="AH18" s="238" t="str">
        <f t="shared" si="16"/>
        <v/>
      </c>
      <c r="AI18" s="237" t="str">
        <f>IF(N18="","",IF(AG18&gt;60,ROUND((10.666*110^-1.85*(AG18/1000)^-4.87*(N18/1000)^1.85*1)*1000,1),ROUND(((0.0126+((0.01739-0.1087*(AG18/1000))/SQRT(AH18)))*(1/(AG18/1000))*((AH18^2)/(2*9.8))*1000),2)))</f>
        <v/>
      </c>
      <c r="AJ18" s="239" t="str">
        <f>IFERROR(VLOOKUP(N18,コード表!$B$6:$BJ$3006,MATCH(AD18,コード表!$B$6:$BJ$6,0)),"")</f>
        <v/>
      </c>
    </row>
    <row r="19" spans="1:36" ht="20.399999999999999" customHeight="1">
      <c r="A19" s="329">
        <v>6</v>
      </c>
      <c r="C19" s="420"/>
      <c r="D19" s="418"/>
      <c r="E19" s="442"/>
      <c r="F19" s="420"/>
      <c r="G19" s="294" t="str">
        <f t="shared" si="6"/>
        <v/>
      </c>
      <c r="H19" s="296" t="str">
        <f t="shared" si="7"/>
        <v/>
      </c>
      <c r="I19" s="422"/>
      <c r="J19" s="298" t="str">
        <f t="shared" si="8"/>
        <v/>
      </c>
      <c r="K19" s="420"/>
      <c r="L19" s="300" t="str">
        <f t="shared" si="9"/>
        <v/>
      </c>
      <c r="M19" s="424"/>
      <c r="N19" s="302" t="str">
        <f t="shared" si="10"/>
        <v/>
      </c>
      <c r="O19" s="426"/>
      <c r="P19" s="324" t="str">
        <f>IF(D19="","",IFERROR(VLOOKUP(AD19,入力補助!$U$3:$V$94,2,FALSE),""))</f>
        <v/>
      </c>
      <c r="Q19" s="295" t="str">
        <f t="shared" si="0"/>
        <v/>
      </c>
      <c r="R19" s="428"/>
      <c r="S19" s="304" t="str">
        <f t="shared" si="1"/>
        <v/>
      </c>
      <c r="T19" s="416" t="str">
        <f t="shared" si="2"/>
        <v/>
      </c>
      <c r="U19" s="339" t="str">
        <f t="shared" si="3"/>
        <v/>
      </c>
      <c r="V19" s="268"/>
      <c r="W19" s="268">
        <f t="shared" si="11"/>
        <v>0</v>
      </c>
      <c r="X19" s="268">
        <f t="shared" si="12"/>
        <v>0</v>
      </c>
      <c r="Y19" s="268" t="e">
        <f t="shared" si="13"/>
        <v>#VALUE!</v>
      </c>
      <c r="Z19" s="322" t="e">
        <f>VLOOKUP(D19,入力補助!$C$2:$Q$44,14,FALSE)</f>
        <v>#N/A</v>
      </c>
      <c r="AA19" s="322" t="e">
        <f>VLOOKUP(D19,入力補助!$C$2:$Q$44,15,FALSE)</f>
        <v>#N/A</v>
      </c>
      <c r="AB19" s="325" t="e">
        <f>VLOOKUP(D19,入力補助!$C$2:$R$44,16,FALSE)</f>
        <v>#N/A</v>
      </c>
      <c r="AC19" s="268" t="str">
        <f t="shared" si="14"/>
        <v>0</v>
      </c>
      <c r="AD19" s="268" t="e">
        <f t="shared" si="17"/>
        <v>#N/A</v>
      </c>
      <c r="AE19" s="268" t="e">
        <f t="shared" si="15"/>
        <v>#N/A</v>
      </c>
      <c r="AF19" s="325" t="e">
        <f t="shared" si="4"/>
        <v>#N/A</v>
      </c>
      <c r="AG19" s="237" t="e">
        <f>IF(AE19="","",VLOOKUP(IF(OR(AND($AV$9=TRUE,$AN$9=D19),AND($AW$9=TRUE,$AO$9=D19),AND($AX$9=TRUE,$AP$9=D19,E19&lt;50),AND($AU$9=TRUE,$AM$9=D19)),AE19,AF19),入力補助!$Z$3:$AA$94,2,FALSE))</f>
        <v>#N/A</v>
      </c>
      <c r="AH19" s="238" t="str">
        <f t="shared" si="16"/>
        <v/>
      </c>
      <c r="AI19" s="237" t="str">
        <f t="shared" si="5"/>
        <v/>
      </c>
      <c r="AJ19" s="239" t="str">
        <f>IFERROR(VLOOKUP(N19,コード表!$B$6:$BJ$3006,MATCH(AD19,コード表!$B$6:$BJ$6,0)),"")</f>
        <v/>
      </c>
    </row>
    <row r="20" spans="1:36" ht="20.399999999999999" customHeight="1">
      <c r="A20" s="329">
        <v>7</v>
      </c>
      <c r="C20" s="420"/>
      <c r="D20" s="418"/>
      <c r="E20" s="442"/>
      <c r="F20" s="420"/>
      <c r="G20" s="294" t="str">
        <f>IF(D20="","",IF(F20="",G19,W20*6+IF(X20=0,0,IF(X20=1,1,IF(X20&lt;5,2,IF(X20&lt;11,3,IF(X20&lt;16,4,IF(X20&lt;21,5,IF(X20&lt;30,6,0)))))))))</f>
        <v/>
      </c>
      <c r="H20" s="296" t="str">
        <f t="shared" si="7"/>
        <v/>
      </c>
      <c r="I20" s="422"/>
      <c r="J20" s="298" t="str">
        <f>IF(D20="","",IF(I20="",J19,IF(I20&lt;10,ROUND(42*(I20^0.33)/60,1),IF(I20&lt;600,ROUND(19*(I20^0.67)/60,1),ROUND(2.8*(I20^0.97)/60,1)))))</f>
        <v/>
      </c>
      <c r="K20" s="420"/>
      <c r="L20" s="300" t="str">
        <f t="shared" si="9"/>
        <v/>
      </c>
      <c r="M20" s="424"/>
      <c r="N20" s="302" t="str">
        <f t="shared" si="10"/>
        <v/>
      </c>
      <c r="O20" s="426"/>
      <c r="P20" s="324" t="str">
        <f>IF(D20="","",IFERROR(VLOOKUP(AD20,入力補助!$U$3:$V$94,2,FALSE),""))</f>
        <v/>
      </c>
      <c r="Q20" s="295" t="str">
        <f t="shared" si="0"/>
        <v/>
      </c>
      <c r="R20" s="428"/>
      <c r="S20" s="304" t="str">
        <f>IF(D20="","",IF(ISNUMBER(R20)=TRUE,R20,IF(ISNUMBER(AJ20)=TRUE,ROUND(AJ20,2),IF(ISNUMBER(P20)=TRUE,ROUND(P20*Q20/1000,2),ROUND(O20*Q20/1000,2)))))</f>
        <v/>
      </c>
      <c r="T20" s="416" t="str">
        <f>IF(D20="SUS","S",IF(D20="VSP","V",IF(D20="COP","C","")))</f>
        <v/>
      </c>
      <c r="U20" s="339" t="str">
        <f t="shared" si="3"/>
        <v/>
      </c>
      <c r="V20" s="268"/>
      <c r="W20" s="268">
        <f t="shared" si="11"/>
        <v>0</v>
      </c>
      <c r="X20" s="268">
        <f t="shared" si="12"/>
        <v>0</v>
      </c>
      <c r="Y20" s="268" t="e">
        <f t="shared" si="13"/>
        <v>#VALUE!</v>
      </c>
      <c r="Z20" s="322" t="e">
        <f>VLOOKUP(D20,入力補助!$C$2:$Q$44,14,FALSE)</f>
        <v>#N/A</v>
      </c>
      <c r="AA20" s="322" t="e">
        <f>VLOOKUP(D20,入力補助!$C$2:$Q$44,15,FALSE)</f>
        <v>#N/A</v>
      </c>
      <c r="AB20" s="325" t="e">
        <f>VLOOKUP(D20,入力補助!$C$2:$R$44,16,FALSE)</f>
        <v>#N/A</v>
      </c>
      <c r="AC20" s="268" t="str">
        <f t="shared" si="14"/>
        <v>0</v>
      </c>
      <c r="AD20" s="268" t="e">
        <f t="shared" si="17"/>
        <v>#N/A</v>
      </c>
      <c r="AE20" s="268" t="e">
        <f t="shared" si="15"/>
        <v>#N/A</v>
      </c>
      <c r="AF20" s="325" t="e">
        <f t="shared" si="4"/>
        <v>#N/A</v>
      </c>
      <c r="AG20" s="237" t="e">
        <f>IF(AE20="","",VLOOKUP(IF(OR(AND($AV$9=TRUE,$AN$9=D20),AND($AW$9=TRUE,$AO$9=D20),AND($AX$9=TRUE,$AP$9=D20,E20&lt;50),AND($AU$9=TRUE,$AM$9=D20)),AE20,AF20),入力補助!$Z$3:$AA$94,2,FALSE))</f>
        <v>#N/A</v>
      </c>
      <c r="AH20" s="238" t="str">
        <f t="shared" si="16"/>
        <v/>
      </c>
      <c r="AI20" s="237" t="str">
        <f t="shared" si="5"/>
        <v/>
      </c>
      <c r="AJ20" s="239" t="str">
        <f>IFERROR(VLOOKUP(N20,コード表!$B$6:$BJ$3006,MATCH(AD20,コード表!$B$6:$BJ$6,0)),"")</f>
        <v/>
      </c>
    </row>
    <row r="21" spans="1:36" ht="20.399999999999999" customHeight="1">
      <c r="A21" s="329">
        <v>8</v>
      </c>
      <c r="C21" s="420"/>
      <c r="D21" s="418"/>
      <c r="E21" s="442"/>
      <c r="F21" s="420"/>
      <c r="G21" s="294" t="str">
        <f>IF(D21="","",IF(F21="",G20,W21*6+IF(X21=0,0,IF(X21=1,1,IF(X21&lt;5,2,IF(X21&lt;11,3,IF(X21&lt;16,4,IF(X21&lt;21,5,IF(X21&lt;30,6,0)))))))))</f>
        <v/>
      </c>
      <c r="H21" s="296" t="str">
        <f t="shared" si="7"/>
        <v/>
      </c>
      <c r="I21" s="422"/>
      <c r="J21" s="298" t="str">
        <f>IF(D21="","",IF(I21="",J20,IF(I21&lt;10,ROUND(42*(I21^0.33)/60,1),IF(I21&lt;600,ROUND(19*(I21^0.67)/60,1),ROUND(2.8*(I21^0.97)/60,1)))))</f>
        <v/>
      </c>
      <c r="K21" s="420"/>
      <c r="L21" s="300" t="str">
        <f t="shared" si="9"/>
        <v/>
      </c>
      <c r="M21" s="424"/>
      <c r="N21" s="302" t="str">
        <f t="shared" si="10"/>
        <v/>
      </c>
      <c r="O21" s="426"/>
      <c r="P21" s="324" t="str">
        <f>IF(D21="","",IFERROR(VLOOKUP(AD21,入力補助!$U$3:$V$94,2,FALSE),""))</f>
        <v/>
      </c>
      <c r="Q21" s="295" t="str">
        <f t="shared" si="0"/>
        <v/>
      </c>
      <c r="R21" s="428"/>
      <c r="S21" s="304" t="str">
        <f>IF(D21="","",IF(ISNUMBER(R21)=TRUE,R21,IF(ISNUMBER(AJ21)=TRUE,ROUND(AJ21,2),IF(ISNUMBER(P21)=TRUE,ROUND(P21*Q21/1000,2),ROUND(O21*Q21/1000,2)))))</f>
        <v/>
      </c>
      <c r="T21" s="416" t="str">
        <f>IF(D21="SUS","S",IF(D21="VSP","V",IF(D21="COP","C","")))</f>
        <v/>
      </c>
      <c r="U21" s="339" t="str">
        <f t="shared" si="3"/>
        <v/>
      </c>
      <c r="V21" s="268"/>
      <c r="W21" s="268">
        <f t="shared" si="11"/>
        <v>0</v>
      </c>
      <c r="X21" s="268">
        <f t="shared" si="12"/>
        <v>0</v>
      </c>
      <c r="Y21" s="268" t="e">
        <f t="shared" si="13"/>
        <v>#VALUE!</v>
      </c>
      <c r="Z21" s="322" t="e">
        <f>VLOOKUP(D21,入力補助!$C$2:$Q$44,14,FALSE)</f>
        <v>#N/A</v>
      </c>
      <c r="AA21" s="322" t="e">
        <f>VLOOKUP(D21,入力補助!$C$2:$Q$44,15,FALSE)</f>
        <v>#N/A</v>
      </c>
      <c r="AB21" s="325" t="e">
        <f>VLOOKUP(D21,入力補助!$C$2:$R$44,16,FALSE)</f>
        <v>#N/A</v>
      </c>
      <c r="AC21" s="268" t="str">
        <f t="shared" si="14"/>
        <v>0</v>
      </c>
      <c r="AD21" s="268" t="e">
        <f t="shared" si="17"/>
        <v>#N/A</v>
      </c>
      <c r="AE21" s="268" t="e">
        <f>AA21&amp;AC21</f>
        <v>#N/A</v>
      </c>
      <c r="AF21" s="325" t="e">
        <f t="shared" si="4"/>
        <v>#N/A</v>
      </c>
      <c r="AG21" s="237" t="e">
        <f>IF(AE21="","",VLOOKUP(IF(OR(AND($AV$9=TRUE,$AN$9=D21),AND($AW$9=TRUE,$AO$9=D21),AND($AX$9=TRUE,$AP$9=D21,E21&lt;50),AND($AU$9=TRUE,$AM$9=D21)),AE21,AF21),入力補助!$Z$3:$AA$94,2,FALSE))</f>
        <v>#N/A</v>
      </c>
      <c r="AH21" s="238" t="str">
        <f t="shared" si="16"/>
        <v/>
      </c>
      <c r="AI21" s="237" t="str">
        <f t="shared" si="5"/>
        <v/>
      </c>
      <c r="AJ21" s="239" t="str">
        <f>IFERROR(VLOOKUP(N21,コード表!$B$6:$BJ$3006,MATCH(AD21,コード表!$B$6:$BJ$6,0)),"")</f>
        <v/>
      </c>
    </row>
    <row r="22" spans="1:36" ht="20.399999999999999" customHeight="1">
      <c r="A22" s="329">
        <v>9</v>
      </c>
      <c r="C22" s="420"/>
      <c r="D22" s="418"/>
      <c r="E22" s="442"/>
      <c r="F22" s="420"/>
      <c r="G22" s="294" t="str">
        <f t="shared" si="6"/>
        <v/>
      </c>
      <c r="H22" s="296" t="str">
        <f t="shared" si="7"/>
        <v/>
      </c>
      <c r="I22" s="422"/>
      <c r="J22" s="298" t="str">
        <f t="shared" si="8"/>
        <v/>
      </c>
      <c r="K22" s="420"/>
      <c r="L22" s="300" t="str">
        <f t="shared" si="9"/>
        <v/>
      </c>
      <c r="M22" s="424"/>
      <c r="N22" s="302" t="str">
        <f t="shared" si="10"/>
        <v/>
      </c>
      <c r="O22" s="426"/>
      <c r="P22" s="324" t="str">
        <f>IF(D22="","",IFERROR(VLOOKUP(AD22,入力補助!$U$3:$V$94,2,FALSE),""))</f>
        <v/>
      </c>
      <c r="Q22" s="295" t="str">
        <f>IF(AJ22="",IFERROR(IF(AI22&lt;10,ROUND(AI22,1),ROUND(AI22,0)),""),"")</f>
        <v/>
      </c>
      <c r="R22" s="428"/>
      <c r="S22" s="304" t="str">
        <f t="shared" si="1"/>
        <v/>
      </c>
      <c r="T22" s="416" t="str">
        <f t="shared" si="2"/>
        <v/>
      </c>
      <c r="U22" s="339" t="str">
        <f t="shared" si="3"/>
        <v/>
      </c>
      <c r="V22" s="268"/>
      <c r="W22" s="268">
        <f t="shared" si="11"/>
        <v>0</v>
      </c>
      <c r="X22" s="268">
        <f t="shared" si="12"/>
        <v>0</v>
      </c>
      <c r="Y22" s="268" t="e">
        <f t="shared" si="13"/>
        <v>#VALUE!</v>
      </c>
      <c r="Z22" s="322" t="e">
        <f>VLOOKUP(D22,入力補助!$C$2:$Q$44,14,FALSE)</f>
        <v>#N/A</v>
      </c>
      <c r="AA22" s="322" t="e">
        <f>VLOOKUP(D22,入力補助!$C$2:$Q$44,15,FALSE)</f>
        <v>#N/A</v>
      </c>
      <c r="AB22" s="325" t="e">
        <f>VLOOKUP(D22,入力補助!$C$2:$R$44,16,FALSE)</f>
        <v>#N/A</v>
      </c>
      <c r="AC22" s="268" t="str">
        <f t="shared" si="14"/>
        <v>0</v>
      </c>
      <c r="AD22" s="268" t="e">
        <f t="shared" si="17"/>
        <v>#N/A</v>
      </c>
      <c r="AE22" s="268" t="e">
        <f t="shared" si="15"/>
        <v>#N/A</v>
      </c>
      <c r="AF22" s="325" t="e">
        <f t="shared" si="4"/>
        <v>#N/A</v>
      </c>
      <c r="AG22" s="237" t="e">
        <f>IF(AE22="","",VLOOKUP(IF(OR(AND($AV$9=TRUE,$AN$9=D22),AND($AW$9=TRUE,$AO$9=D22),AND($AX$9=TRUE,$AP$9=D22,E22&lt;50),AND($AU$9=TRUE,$AM$9=D22)),AE22,AF22),入力補助!$Z$3:$AA$94,2,FALSE))</f>
        <v>#N/A</v>
      </c>
      <c r="AH22" s="238" t="str">
        <f t="shared" si="16"/>
        <v/>
      </c>
      <c r="AI22" s="237" t="str">
        <f t="shared" si="5"/>
        <v/>
      </c>
      <c r="AJ22" s="239" t="str">
        <f>IFERROR(VLOOKUP(N22,コード表!$B$6:$BJ$3006,MATCH(AD22,コード表!$B$6:$BJ$6,0)),"")</f>
        <v/>
      </c>
    </row>
    <row r="23" spans="1:36" ht="20.399999999999999" customHeight="1">
      <c r="A23" s="329">
        <v>10</v>
      </c>
      <c r="C23" s="420"/>
      <c r="D23" s="418"/>
      <c r="E23" s="442"/>
      <c r="F23" s="420"/>
      <c r="G23" s="294" t="str">
        <f>IF(D23="","",IF(F23="",G22,W23*6+IF(X23=0,0,IF(X23=1,1,IF(X23&lt;5,2,IF(X23&lt;11,3,IF(X23&lt;16,4,IF(X23&lt;21,5,IF(X23&lt;30,6,0)))))))))</f>
        <v/>
      </c>
      <c r="H23" s="296" t="str">
        <f t="shared" si="7"/>
        <v/>
      </c>
      <c r="I23" s="422"/>
      <c r="J23" s="298" t="str">
        <f>IF(D23="","",IF(I23="",J22,IF(I23&lt;10,ROUND(42*(I23^0.33)/60,1),IF(I23&lt;600,ROUND(19*(I23^0.67)/60,1),ROUND(2.8*(I23^0.97)/60,1)))))</f>
        <v/>
      </c>
      <c r="K23" s="420"/>
      <c r="L23" s="300" t="str">
        <f t="shared" si="9"/>
        <v/>
      </c>
      <c r="M23" s="424"/>
      <c r="N23" s="302" t="str">
        <f t="shared" si="10"/>
        <v/>
      </c>
      <c r="O23" s="426"/>
      <c r="P23" s="324" t="str">
        <f>IF(D23="","",IFERROR(VLOOKUP(AD23,入力補助!$U$3:$V$94,2,FALSE),""))</f>
        <v/>
      </c>
      <c r="Q23" s="295" t="str">
        <f t="shared" si="0"/>
        <v/>
      </c>
      <c r="R23" s="428"/>
      <c r="S23" s="304" t="str">
        <f>IF(D23="","",IF(ISNUMBER(R23)=TRUE,R23,IF(ISNUMBER(AJ23)=TRUE,ROUND(AJ23,2),IF(ISNUMBER(P23)=TRUE,ROUND(P23*Q23/1000,2),ROUND(O23*Q23/1000,2)))))</f>
        <v/>
      </c>
      <c r="T23" s="416" t="str">
        <f>IF(D23="SUS","S",IF(D23="VSP","V",IF(D23="COP","C","")))</f>
        <v/>
      </c>
      <c r="U23" s="339" t="str">
        <f t="shared" si="3"/>
        <v/>
      </c>
      <c r="V23" s="268"/>
      <c r="W23" s="268">
        <f t="shared" si="11"/>
        <v>0</v>
      </c>
      <c r="X23" s="268">
        <f t="shared" si="12"/>
        <v>0</v>
      </c>
      <c r="Y23" s="268" t="e">
        <f t="shared" si="13"/>
        <v>#VALUE!</v>
      </c>
      <c r="Z23" s="322" t="e">
        <f>VLOOKUP(D23,入力補助!$C$2:$Q$44,14,FALSE)</f>
        <v>#N/A</v>
      </c>
      <c r="AA23" s="322" t="e">
        <f>VLOOKUP(D23,入力補助!$C$2:$Q$44,15,FALSE)</f>
        <v>#N/A</v>
      </c>
      <c r="AB23" s="325" t="e">
        <f>VLOOKUP(D23,入力補助!$C$2:$R$44,16,FALSE)</f>
        <v>#N/A</v>
      </c>
      <c r="AC23" s="268" t="str">
        <f t="shared" si="14"/>
        <v>0</v>
      </c>
      <c r="AD23" s="268" t="e">
        <f t="shared" si="17"/>
        <v>#N/A</v>
      </c>
      <c r="AE23" s="268" t="e">
        <f t="shared" si="15"/>
        <v>#N/A</v>
      </c>
      <c r="AF23" s="325" t="e">
        <f t="shared" si="4"/>
        <v>#N/A</v>
      </c>
      <c r="AG23" s="237" t="e">
        <f>IF(AE23="","",VLOOKUP(IF(OR(AND($AV$9=TRUE,$AN$9=D23),AND($AW$9=TRUE,$AO$9=D23),AND($AX$9=TRUE,$AP$9=D23,E23&lt;50),AND($AU$9=TRUE,$AM$9=D23)),AE23,AF23),入力補助!$Z$3:$AA$94,2,FALSE))</f>
        <v>#N/A</v>
      </c>
      <c r="AH23" s="238" t="str">
        <f t="shared" si="16"/>
        <v/>
      </c>
      <c r="AI23" s="237" t="str">
        <f t="shared" si="5"/>
        <v/>
      </c>
      <c r="AJ23" s="239" t="str">
        <f>IFERROR(VLOOKUP(N23,コード表!$B$6:$BJ$3006,MATCH(AD23,コード表!$B$6:$BJ$6,0)),"")</f>
        <v/>
      </c>
    </row>
    <row r="24" spans="1:36" ht="20.399999999999999" customHeight="1">
      <c r="A24" s="329">
        <v>11</v>
      </c>
      <c r="C24" s="420"/>
      <c r="D24" s="418"/>
      <c r="E24" s="442"/>
      <c r="F24" s="420"/>
      <c r="G24" s="294" t="str">
        <f>IF(D24="","",IF(F24="",G23,W24*6+IF(X24=0,0,IF(X24=1,1,IF(X24&lt;5,2,IF(X24&lt;11,3,IF(X24&lt;16,4,IF(X24&lt;21,5,IF(X24&lt;30,6,0)))))))))</f>
        <v/>
      </c>
      <c r="H24" s="296" t="str">
        <f t="shared" si="7"/>
        <v/>
      </c>
      <c r="I24" s="422"/>
      <c r="J24" s="298" t="str">
        <f>IF(D24="","",IF(I24="",J23,IF(I24&lt;10,ROUND(42*(I24^0.33)/60,1),IF(I24&lt;600,ROUND(19*(I24^0.67)/60,1),ROUND(2.8*(I24^0.97)/60,1)))))</f>
        <v/>
      </c>
      <c r="K24" s="420"/>
      <c r="L24" s="300" t="str">
        <f t="shared" si="9"/>
        <v/>
      </c>
      <c r="M24" s="424"/>
      <c r="N24" s="302" t="str">
        <f t="shared" si="10"/>
        <v/>
      </c>
      <c r="O24" s="426"/>
      <c r="P24" s="324" t="str">
        <f>IF(D24="","",IFERROR(VLOOKUP(AD24,入力補助!$U$3:$V$94,2,FALSE),""))</f>
        <v/>
      </c>
      <c r="Q24" s="295" t="str">
        <f t="shared" si="0"/>
        <v/>
      </c>
      <c r="R24" s="428"/>
      <c r="S24" s="304" t="str">
        <f>IF(D24="","",IF(ISNUMBER(R24)=TRUE,R24,IF(ISNUMBER(AJ24)=TRUE,ROUND(AJ24,2),IF(ISNUMBER(P24)=TRUE,ROUND(P24*Q24/1000,2),ROUND(O24*Q24/1000,2)))))</f>
        <v/>
      </c>
      <c r="T24" s="416" t="str">
        <f>IF(D24="SUS","S",IF(D24="VSP","V",IF(D24="COP","C","")))</f>
        <v/>
      </c>
      <c r="U24" s="339" t="str">
        <f t="shared" si="3"/>
        <v/>
      </c>
      <c r="V24" s="268"/>
      <c r="W24" s="268">
        <f t="shared" si="11"/>
        <v>0</v>
      </c>
      <c r="X24" s="268">
        <f t="shared" si="12"/>
        <v>0</v>
      </c>
      <c r="Y24" s="268" t="e">
        <f t="shared" si="13"/>
        <v>#VALUE!</v>
      </c>
      <c r="Z24" s="322" t="e">
        <f>VLOOKUP(D24,入力補助!$C$2:$Q$44,14,FALSE)</f>
        <v>#N/A</v>
      </c>
      <c r="AA24" s="322" t="e">
        <f>VLOOKUP(D24,入力補助!$C$2:$Q$44,15,FALSE)</f>
        <v>#N/A</v>
      </c>
      <c r="AB24" s="325" t="e">
        <f>VLOOKUP(D24,入力補助!$C$2:$R$44,16,FALSE)</f>
        <v>#N/A</v>
      </c>
      <c r="AC24" s="268" t="str">
        <f t="shared" si="14"/>
        <v>0</v>
      </c>
      <c r="AD24" s="268" t="e">
        <f t="shared" si="17"/>
        <v>#N/A</v>
      </c>
      <c r="AE24" s="268" t="e">
        <f t="shared" si="15"/>
        <v>#N/A</v>
      </c>
      <c r="AF24" s="325" t="e">
        <f t="shared" si="4"/>
        <v>#N/A</v>
      </c>
      <c r="AG24" s="237" t="e">
        <f>IF(AE24="","",VLOOKUP(IF(OR(AND($AV$9=TRUE,$AN$9=D24),AND($AW$9=TRUE,$AO$9=D24),AND($AX$9=TRUE,$AP$9=D24,E24&lt;50),AND($AU$9=TRUE,$AM$9=D24)),AE24,AF24),入力補助!$Z$3:$AA$94,2,FALSE))</f>
        <v>#N/A</v>
      </c>
      <c r="AH24" s="238" t="str">
        <f t="shared" si="16"/>
        <v/>
      </c>
      <c r="AI24" s="237" t="str">
        <f t="shared" si="5"/>
        <v/>
      </c>
      <c r="AJ24" s="239" t="str">
        <f>IFERROR(VLOOKUP(N24,コード表!$B$6:$BJ$3006,MATCH(AD24,コード表!$B$6:$BJ$6,0)),"")</f>
        <v/>
      </c>
    </row>
    <row r="25" spans="1:36" ht="20.399999999999999" customHeight="1">
      <c r="A25" s="329">
        <v>12</v>
      </c>
      <c r="C25" s="420"/>
      <c r="D25" s="418"/>
      <c r="E25" s="442"/>
      <c r="F25" s="420"/>
      <c r="G25" s="294" t="str">
        <f t="shared" si="6"/>
        <v/>
      </c>
      <c r="H25" s="296" t="str">
        <f t="shared" si="7"/>
        <v/>
      </c>
      <c r="I25" s="422"/>
      <c r="J25" s="298" t="str">
        <f t="shared" si="8"/>
        <v/>
      </c>
      <c r="K25" s="420"/>
      <c r="L25" s="300" t="str">
        <f t="shared" si="9"/>
        <v/>
      </c>
      <c r="M25" s="424"/>
      <c r="N25" s="302" t="str">
        <f t="shared" si="10"/>
        <v/>
      </c>
      <c r="O25" s="426"/>
      <c r="P25" s="324" t="str">
        <f>IF(D25="","",IFERROR(VLOOKUP(AD25,入力補助!$U$3:$V$94,2,FALSE),""))</f>
        <v/>
      </c>
      <c r="Q25" s="295" t="str">
        <f t="shared" si="0"/>
        <v/>
      </c>
      <c r="R25" s="428"/>
      <c r="S25" s="304" t="str">
        <f t="shared" si="1"/>
        <v/>
      </c>
      <c r="T25" s="416" t="str">
        <f t="shared" si="2"/>
        <v/>
      </c>
      <c r="U25" s="339" t="str">
        <f t="shared" si="3"/>
        <v/>
      </c>
      <c r="V25" s="268"/>
      <c r="W25" s="268">
        <f t="shared" si="11"/>
        <v>0</v>
      </c>
      <c r="X25" s="268">
        <f t="shared" si="12"/>
        <v>0</v>
      </c>
      <c r="Y25" s="268" t="e">
        <f t="shared" si="13"/>
        <v>#VALUE!</v>
      </c>
      <c r="Z25" s="322" t="e">
        <f>VLOOKUP(D25,入力補助!$C$2:$Q$44,14,FALSE)</f>
        <v>#N/A</v>
      </c>
      <c r="AA25" s="322" t="e">
        <f>VLOOKUP(D25,入力補助!$C$2:$Q$44,15,FALSE)</f>
        <v>#N/A</v>
      </c>
      <c r="AB25" s="325" t="e">
        <f>VLOOKUP(D25,入力補助!$C$2:$R$44,16,FALSE)</f>
        <v>#N/A</v>
      </c>
      <c r="AC25" s="268" t="str">
        <f t="shared" si="14"/>
        <v>0</v>
      </c>
      <c r="AD25" s="268" t="e">
        <f t="shared" si="17"/>
        <v>#N/A</v>
      </c>
      <c r="AE25" s="268" t="e">
        <f t="shared" si="15"/>
        <v>#N/A</v>
      </c>
      <c r="AF25" s="325" t="e">
        <f t="shared" si="4"/>
        <v>#N/A</v>
      </c>
      <c r="AG25" s="237" t="e">
        <f>IF(AE25="","",VLOOKUP(IF(OR(AND($AV$9=TRUE,$AN$9=D25),AND($AW$9=TRUE,$AO$9=D25),AND($AX$9=TRUE,$AP$9=D25,E25&lt;50),AND($AU$9=TRUE,$AM$9=D25)),AE25,AF25),入力補助!$Z$3:$AA$94,2,FALSE))</f>
        <v>#N/A</v>
      </c>
      <c r="AH25" s="238" t="str">
        <f t="shared" si="16"/>
        <v/>
      </c>
      <c r="AI25" s="237" t="str">
        <f t="shared" si="5"/>
        <v/>
      </c>
      <c r="AJ25" s="239" t="str">
        <f>IFERROR(VLOOKUP(N25,コード表!$B$6:$BJ$3006,MATCH(AD25,コード表!$B$6:$BJ$6,0)),"")</f>
        <v/>
      </c>
    </row>
    <row r="26" spans="1:36" ht="20.399999999999999" customHeight="1">
      <c r="A26" s="329">
        <v>13</v>
      </c>
      <c r="C26" s="420"/>
      <c r="D26" s="418"/>
      <c r="E26" s="442"/>
      <c r="F26" s="420"/>
      <c r="G26" s="294" t="str">
        <f t="shared" si="6"/>
        <v/>
      </c>
      <c r="H26" s="296" t="str">
        <f t="shared" si="7"/>
        <v/>
      </c>
      <c r="I26" s="422"/>
      <c r="J26" s="298" t="str">
        <f t="shared" si="8"/>
        <v/>
      </c>
      <c r="K26" s="420"/>
      <c r="L26" s="300" t="str">
        <f t="shared" si="9"/>
        <v/>
      </c>
      <c r="M26" s="424"/>
      <c r="N26" s="302" t="str">
        <f t="shared" si="10"/>
        <v/>
      </c>
      <c r="O26" s="426"/>
      <c r="P26" s="324" t="str">
        <f>IF(D26="","",IFERROR(VLOOKUP(AD26,入力補助!$U$3:$V$94,2,FALSE),""))</f>
        <v/>
      </c>
      <c r="Q26" s="295" t="str">
        <f t="shared" si="0"/>
        <v/>
      </c>
      <c r="R26" s="428"/>
      <c r="S26" s="304" t="str">
        <f t="shared" si="1"/>
        <v/>
      </c>
      <c r="T26" s="416" t="str">
        <f t="shared" si="2"/>
        <v/>
      </c>
      <c r="U26" s="339" t="str">
        <f t="shared" si="3"/>
        <v/>
      </c>
      <c r="V26" s="268"/>
      <c r="W26" s="268">
        <f t="shared" si="11"/>
        <v>0</v>
      </c>
      <c r="X26" s="268">
        <f t="shared" si="12"/>
        <v>0</v>
      </c>
      <c r="Y26" s="268" t="e">
        <f t="shared" si="13"/>
        <v>#VALUE!</v>
      </c>
      <c r="Z26" s="322" t="e">
        <f>VLOOKUP(D26,入力補助!$C$2:$Q$44,14,FALSE)</f>
        <v>#N/A</v>
      </c>
      <c r="AA26" s="322" t="e">
        <f>VLOOKUP(D26,入力補助!$C$2:$Q$44,15,FALSE)</f>
        <v>#N/A</v>
      </c>
      <c r="AB26" s="325" t="e">
        <f>VLOOKUP(D26,入力補助!$C$2:$R$44,16,FALSE)</f>
        <v>#N/A</v>
      </c>
      <c r="AC26" s="268" t="str">
        <f t="shared" si="14"/>
        <v>0</v>
      </c>
      <c r="AD26" s="268" t="e">
        <f t="shared" si="17"/>
        <v>#N/A</v>
      </c>
      <c r="AE26" s="268" t="e">
        <f t="shared" si="15"/>
        <v>#N/A</v>
      </c>
      <c r="AF26" s="325" t="e">
        <f t="shared" si="4"/>
        <v>#N/A</v>
      </c>
      <c r="AG26" s="237" t="e">
        <f>IF(AE26="","",VLOOKUP(IF(OR(AND($AV$9=TRUE,$AN$9=D26),AND($AW$9=TRUE,$AO$9=D26),AND($AX$9=TRUE,$AP$9=D26,E26&lt;50),AND($AU$9=TRUE,$AM$9=D26)),AE26,AF26),入力補助!$Z$3:$AA$94,2,FALSE))</f>
        <v>#N/A</v>
      </c>
      <c r="AH26" s="238" t="str">
        <f t="shared" si="16"/>
        <v/>
      </c>
      <c r="AI26" s="237" t="str">
        <f t="shared" si="5"/>
        <v/>
      </c>
      <c r="AJ26" s="239" t="str">
        <f>IFERROR(VLOOKUP(N26,コード表!$B$6:$BJ$3006,MATCH(AD26,コード表!$B$6:$BJ$6,0)),"")</f>
        <v/>
      </c>
    </row>
    <row r="27" spans="1:36" ht="20.399999999999999" customHeight="1">
      <c r="A27" s="329">
        <v>14</v>
      </c>
      <c r="C27" s="420"/>
      <c r="D27" s="418"/>
      <c r="E27" s="442"/>
      <c r="F27" s="420"/>
      <c r="G27" s="294" t="str">
        <f t="shared" si="6"/>
        <v/>
      </c>
      <c r="H27" s="296" t="str">
        <f t="shared" si="7"/>
        <v/>
      </c>
      <c r="I27" s="422"/>
      <c r="J27" s="298" t="str">
        <f t="shared" si="8"/>
        <v/>
      </c>
      <c r="K27" s="420"/>
      <c r="L27" s="300" t="str">
        <f t="shared" si="9"/>
        <v/>
      </c>
      <c r="M27" s="424"/>
      <c r="N27" s="302" t="str">
        <f t="shared" si="10"/>
        <v/>
      </c>
      <c r="O27" s="426"/>
      <c r="P27" s="324" t="str">
        <f>IF(D27="","",IFERROR(VLOOKUP(AD27,入力補助!$U$3:$V$94,2,FALSE),""))</f>
        <v/>
      </c>
      <c r="Q27" s="295" t="str">
        <f t="shared" si="0"/>
        <v/>
      </c>
      <c r="R27" s="428"/>
      <c r="S27" s="304" t="str">
        <f t="shared" si="1"/>
        <v/>
      </c>
      <c r="T27" s="416" t="str">
        <f t="shared" si="2"/>
        <v/>
      </c>
      <c r="U27" s="339" t="str">
        <f t="shared" si="3"/>
        <v/>
      </c>
      <c r="V27" s="268"/>
      <c r="W27" s="268">
        <f t="shared" si="11"/>
        <v>0</v>
      </c>
      <c r="X27" s="268">
        <f t="shared" si="12"/>
        <v>0</v>
      </c>
      <c r="Y27" s="268" t="e">
        <f t="shared" si="13"/>
        <v>#VALUE!</v>
      </c>
      <c r="Z27" s="322" t="e">
        <f>VLOOKUP(D27,入力補助!$C$2:$Q$44,14,FALSE)</f>
        <v>#N/A</v>
      </c>
      <c r="AA27" s="322" t="e">
        <f>VLOOKUP(D27,入力補助!$C$2:$Q$44,15,FALSE)</f>
        <v>#N/A</v>
      </c>
      <c r="AB27" s="325" t="e">
        <f>VLOOKUP(D27,入力補助!$C$2:$R$44,16,FALSE)</f>
        <v>#N/A</v>
      </c>
      <c r="AC27" s="268" t="str">
        <f t="shared" si="14"/>
        <v>0</v>
      </c>
      <c r="AD27" s="268" t="e">
        <f t="shared" si="17"/>
        <v>#N/A</v>
      </c>
      <c r="AE27" s="268" t="e">
        <f t="shared" si="15"/>
        <v>#N/A</v>
      </c>
      <c r="AF27" s="325" t="e">
        <f t="shared" si="4"/>
        <v>#N/A</v>
      </c>
      <c r="AG27" s="237" t="e">
        <f>IF(AE27="","",VLOOKUP(IF(OR(AND($AV$9=TRUE,$AN$9=D27),AND($AW$9=TRUE,$AO$9=D27),AND($AX$9=TRUE,$AP$9=D27,E27&lt;50),AND($AU$9=TRUE,$AM$9=D27)),AE27,AF27),入力補助!$Z$3:$AA$94,2,FALSE))</f>
        <v>#N/A</v>
      </c>
      <c r="AH27" s="238" t="str">
        <f t="shared" si="16"/>
        <v/>
      </c>
      <c r="AI27" s="237" t="str">
        <f t="shared" si="5"/>
        <v/>
      </c>
      <c r="AJ27" s="239" t="str">
        <f>IFERROR(VLOOKUP(N27,コード表!$B$6:$BJ$3006,MATCH(AD27,コード表!$B$6:$BJ$6,0)),"")</f>
        <v/>
      </c>
    </row>
    <row r="28" spans="1:36" ht="20.399999999999999" customHeight="1">
      <c r="A28" s="329">
        <v>15</v>
      </c>
      <c r="C28" s="420"/>
      <c r="D28" s="418"/>
      <c r="E28" s="442"/>
      <c r="F28" s="420"/>
      <c r="G28" s="294" t="str">
        <f t="shared" si="6"/>
        <v/>
      </c>
      <c r="H28" s="296" t="str">
        <f t="shared" si="7"/>
        <v/>
      </c>
      <c r="I28" s="422"/>
      <c r="J28" s="298" t="str">
        <f t="shared" si="8"/>
        <v/>
      </c>
      <c r="K28" s="420"/>
      <c r="L28" s="300" t="str">
        <f t="shared" si="9"/>
        <v/>
      </c>
      <c r="M28" s="424"/>
      <c r="N28" s="302" t="str">
        <f t="shared" si="10"/>
        <v/>
      </c>
      <c r="O28" s="426"/>
      <c r="P28" s="324" t="str">
        <f>IF(D28="","",IFERROR(VLOOKUP(AD28,入力補助!$U$3:$V$94,2,FALSE),""))</f>
        <v/>
      </c>
      <c r="Q28" s="295" t="str">
        <f t="shared" si="0"/>
        <v/>
      </c>
      <c r="R28" s="428"/>
      <c r="S28" s="304" t="str">
        <f t="shared" si="1"/>
        <v/>
      </c>
      <c r="T28" s="416" t="str">
        <f t="shared" si="2"/>
        <v/>
      </c>
      <c r="U28" s="339" t="str">
        <f t="shared" si="3"/>
        <v/>
      </c>
      <c r="V28" s="268"/>
      <c r="W28" s="268">
        <f t="shared" si="11"/>
        <v>0</v>
      </c>
      <c r="X28" s="268">
        <f t="shared" si="12"/>
        <v>0</v>
      </c>
      <c r="Y28" s="268" t="e">
        <f t="shared" si="13"/>
        <v>#VALUE!</v>
      </c>
      <c r="Z28" s="322" t="e">
        <f>VLOOKUP(D28,入力補助!$C$2:$Q$44,14,FALSE)</f>
        <v>#N/A</v>
      </c>
      <c r="AA28" s="322" t="e">
        <f>VLOOKUP(D28,入力補助!$C$2:$Q$44,15,FALSE)</f>
        <v>#N/A</v>
      </c>
      <c r="AB28" s="325" t="e">
        <f>VLOOKUP(D28,入力補助!$C$2:$R$44,16,FALSE)</f>
        <v>#N/A</v>
      </c>
      <c r="AC28" s="268" t="str">
        <f t="shared" si="14"/>
        <v>0</v>
      </c>
      <c r="AD28" s="268" t="e">
        <f t="shared" si="17"/>
        <v>#N/A</v>
      </c>
      <c r="AE28" s="268" t="e">
        <f t="shared" si="15"/>
        <v>#N/A</v>
      </c>
      <c r="AF28" s="325" t="e">
        <f t="shared" si="4"/>
        <v>#N/A</v>
      </c>
      <c r="AG28" s="237" t="e">
        <f>IF(AE28="","",VLOOKUP(IF(OR(AND($AV$9=TRUE,$AN$9=D28),AND($AW$9=TRUE,$AO$9=D28),AND($AX$9=TRUE,$AP$9=D28,E28&lt;50),AND($AU$9=TRUE,$AM$9=D28)),AE28,AF28),入力補助!$Z$3:$AA$94,2,FALSE))</f>
        <v>#N/A</v>
      </c>
      <c r="AH28" s="238" t="str">
        <f t="shared" si="16"/>
        <v/>
      </c>
      <c r="AI28" s="237" t="str">
        <f t="shared" si="5"/>
        <v/>
      </c>
      <c r="AJ28" s="239" t="str">
        <f>IFERROR(VLOOKUP(N28,コード表!$B$6:$BJ$3006,MATCH(AD28,コード表!$B$6:$BJ$6,0)),"")</f>
        <v/>
      </c>
    </row>
    <row r="29" spans="1:36" ht="20.399999999999999" customHeight="1">
      <c r="A29" s="329">
        <v>16</v>
      </c>
      <c r="C29" s="420"/>
      <c r="D29" s="418"/>
      <c r="E29" s="442"/>
      <c r="F29" s="420"/>
      <c r="G29" s="294" t="str">
        <f t="shared" si="6"/>
        <v/>
      </c>
      <c r="H29" s="296" t="str">
        <f t="shared" si="7"/>
        <v/>
      </c>
      <c r="I29" s="422"/>
      <c r="J29" s="298" t="str">
        <f t="shared" si="8"/>
        <v/>
      </c>
      <c r="K29" s="420"/>
      <c r="L29" s="300" t="str">
        <f t="shared" si="9"/>
        <v/>
      </c>
      <c r="M29" s="424"/>
      <c r="N29" s="302" t="str">
        <f t="shared" si="10"/>
        <v/>
      </c>
      <c r="O29" s="426"/>
      <c r="P29" s="324" t="str">
        <f>IF(D29="","",IFERROR(VLOOKUP(AD29,入力補助!$U$3:$V$94,2,FALSE),""))</f>
        <v/>
      </c>
      <c r="Q29" s="295" t="str">
        <f t="shared" si="0"/>
        <v/>
      </c>
      <c r="R29" s="428"/>
      <c r="S29" s="304" t="str">
        <f>IF(D29="","",IF(ISNUMBER(R29)=TRUE,R29,IF(ISNUMBER(AJ29)=TRUE,ROUND(AJ29,2),IF(ISNUMBER(P29)=TRUE,ROUND(P29*Q29/1000,2),ROUND(O29*Q29/1000,2)))))</f>
        <v/>
      </c>
      <c r="T29" s="416" t="str">
        <f t="shared" si="2"/>
        <v/>
      </c>
      <c r="U29" s="339" t="str">
        <f t="shared" si="3"/>
        <v/>
      </c>
      <c r="V29" s="268"/>
      <c r="W29" s="268">
        <f t="shared" si="11"/>
        <v>0</v>
      </c>
      <c r="X29" s="268">
        <f t="shared" si="12"/>
        <v>0</v>
      </c>
      <c r="Y29" s="268" t="e">
        <f t="shared" si="13"/>
        <v>#VALUE!</v>
      </c>
      <c r="Z29" s="322" t="e">
        <f>VLOOKUP(D29,入力補助!$C$2:$Q$44,14,FALSE)</f>
        <v>#N/A</v>
      </c>
      <c r="AA29" s="322" t="e">
        <f>VLOOKUP(D29,入力補助!$C$2:$Q$44,15,FALSE)</f>
        <v>#N/A</v>
      </c>
      <c r="AB29" s="325" t="e">
        <f>VLOOKUP(D29,入力補助!$C$2:$R$44,16,FALSE)</f>
        <v>#N/A</v>
      </c>
      <c r="AC29" s="268" t="str">
        <f t="shared" si="14"/>
        <v>0</v>
      </c>
      <c r="AD29" s="268" t="e">
        <f t="shared" si="17"/>
        <v>#N/A</v>
      </c>
      <c r="AE29" s="268" t="e">
        <f t="shared" si="15"/>
        <v>#N/A</v>
      </c>
      <c r="AF29" s="325" t="e">
        <f t="shared" si="4"/>
        <v>#N/A</v>
      </c>
      <c r="AG29" s="237" t="e">
        <f>IF(AE29="","",VLOOKUP(IF(OR(AND($AV$9=TRUE,$AN$9=D29),AND($AW$9=TRUE,$AO$9=D29),AND($AX$9=TRUE,$AP$9=D29,E29&lt;50),AND($AU$9=TRUE,$AM$9=D29)),AE29,AF29),入力補助!$Z$3:$AA$94,2,FALSE))</f>
        <v>#N/A</v>
      </c>
      <c r="AH29" s="238" t="str">
        <f t="shared" si="16"/>
        <v/>
      </c>
      <c r="AI29" s="237" t="str">
        <f t="shared" si="5"/>
        <v/>
      </c>
      <c r="AJ29" s="239" t="str">
        <f>IFERROR(VLOOKUP(N29,コード表!$B$6:$BJ$3006,MATCH(AD29,コード表!$B$6:$BJ$6,0)),"")</f>
        <v/>
      </c>
    </row>
    <row r="30" spans="1:36" ht="20.399999999999999" customHeight="1">
      <c r="A30" s="329">
        <v>17</v>
      </c>
      <c r="C30" s="420"/>
      <c r="D30" s="418"/>
      <c r="E30" s="442"/>
      <c r="F30" s="420"/>
      <c r="G30" s="294" t="str">
        <f t="shared" si="6"/>
        <v/>
      </c>
      <c r="H30" s="296" t="str">
        <f t="shared" si="7"/>
        <v/>
      </c>
      <c r="I30" s="422"/>
      <c r="J30" s="298" t="str">
        <f t="shared" si="8"/>
        <v/>
      </c>
      <c r="K30" s="420"/>
      <c r="L30" s="300" t="str">
        <f t="shared" si="9"/>
        <v/>
      </c>
      <c r="M30" s="424"/>
      <c r="N30" s="302" t="str">
        <f t="shared" si="10"/>
        <v/>
      </c>
      <c r="O30" s="426"/>
      <c r="P30" s="324" t="str">
        <f>IF(D30="","",IFERROR(VLOOKUP(AD30,入力補助!$U$3:$V$94,2,FALSE),""))</f>
        <v/>
      </c>
      <c r="Q30" s="295" t="str">
        <f t="shared" si="0"/>
        <v/>
      </c>
      <c r="R30" s="428"/>
      <c r="S30" s="304" t="str">
        <f>IF(D30="","",IF(ISNUMBER(R30)=TRUE,R30,IF(ISNUMBER(AJ30)=TRUE,ROUND(AJ30,2),IF(ISNUMBER(P30)=TRUE,ROUND(P30*Q30/1000,2),ROUND(O30*Q30/1000,2)))))</f>
        <v/>
      </c>
      <c r="T30" s="416" t="str">
        <f t="shared" si="2"/>
        <v/>
      </c>
      <c r="U30" s="339" t="str">
        <f t="shared" si="3"/>
        <v/>
      </c>
      <c r="V30" s="268"/>
      <c r="W30" s="268">
        <f t="shared" si="11"/>
        <v>0</v>
      </c>
      <c r="X30" s="268">
        <f t="shared" si="12"/>
        <v>0</v>
      </c>
      <c r="Y30" s="268" t="e">
        <f t="shared" si="13"/>
        <v>#VALUE!</v>
      </c>
      <c r="Z30" s="322" t="e">
        <f>VLOOKUP(D30,入力補助!$C$2:$Q$44,14,FALSE)</f>
        <v>#N/A</v>
      </c>
      <c r="AA30" s="322" t="e">
        <f>VLOOKUP(D30,入力補助!$C$2:$Q$44,15,FALSE)</f>
        <v>#N/A</v>
      </c>
      <c r="AB30" s="325" t="e">
        <f>VLOOKUP(D30,入力補助!$C$2:$R$44,16,FALSE)</f>
        <v>#N/A</v>
      </c>
      <c r="AC30" s="268" t="str">
        <f t="shared" si="14"/>
        <v>0</v>
      </c>
      <c r="AD30" s="268" t="e">
        <f t="shared" si="17"/>
        <v>#N/A</v>
      </c>
      <c r="AE30" s="268" t="e">
        <f t="shared" si="15"/>
        <v>#N/A</v>
      </c>
      <c r="AF30" s="325" t="e">
        <f t="shared" si="4"/>
        <v>#N/A</v>
      </c>
      <c r="AG30" s="237" t="e">
        <f>IF(AE30="","",VLOOKUP(IF(OR(AND($AV$9=TRUE,$AN$9=D30),AND($AW$9=TRUE,$AO$9=D30),AND($AX$9=TRUE,$AP$9=D30,E30&lt;50),AND($AU$9=TRUE,$AM$9=D30)),AE30,AF30),入力補助!$Z$3:$AA$94,2,FALSE))</f>
        <v>#N/A</v>
      </c>
      <c r="AH30" s="238" t="str">
        <f t="shared" si="16"/>
        <v/>
      </c>
      <c r="AI30" s="237" t="str">
        <f t="shared" si="5"/>
        <v/>
      </c>
      <c r="AJ30" s="239" t="str">
        <f>IFERROR(VLOOKUP(N30,コード表!$B$6:$BJ$3006,MATCH(AD30,コード表!$B$6:$BJ$6,0)),"")</f>
        <v/>
      </c>
    </row>
    <row r="31" spans="1:36" ht="20.399999999999999" customHeight="1">
      <c r="A31" s="329">
        <v>18</v>
      </c>
      <c r="C31" s="420"/>
      <c r="D31" s="418"/>
      <c r="E31" s="442"/>
      <c r="F31" s="420"/>
      <c r="G31" s="294" t="str">
        <f t="shared" si="6"/>
        <v/>
      </c>
      <c r="H31" s="296" t="str">
        <f t="shared" si="7"/>
        <v/>
      </c>
      <c r="I31" s="422"/>
      <c r="J31" s="298" t="str">
        <f t="shared" si="8"/>
        <v/>
      </c>
      <c r="K31" s="420"/>
      <c r="L31" s="300" t="str">
        <f t="shared" si="9"/>
        <v/>
      </c>
      <c r="M31" s="424"/>
      <c r="N31" s="302" t="str">
        <f t="shared" si="10"/>
        <v/>
      </c>
      <c r="O31" s="426"/>
      <c r="P31" s="324" t="str">
        <f>IF(D31="","",IFERROR(VLOOKUP(AD31,入力補助!$U$3:$V$94,2,FALSE),""))</f>
        <v/>
      </c>
      <c r="Q31" s="295" t="str">
        <f t="shared" si="0"/>
        <v/>
      </c>
      <c r="R31" s="428"/>
      <c r="S31" s="304" t="str">
        <f t="shared" si="1"/>
        <v/>
      </c>
      <c r="T31" s="416" t="str">
        <f t="shared" si="2"/>
        <v/>
      </c>
      <c r="U31" s="339" t="str">
        <f t="shared" si="3"/>
        <v/>
      </c>
      <c r="V31" s="268"/>
      <c r="W31" s="268">
        <f t="shared" si="11"/>
        <v>0</v>
      </c>
      <c r="X31" s="268">
        <f t="shared" si="12"/>
        <v>0</v>
      </c>
      <c r="Y31" s="268" t="e">
        <f t="shared" si="13"/>
        <v>#VALUE!</v>
      </c>
      <c r="Z31" s="322" t="e">
        <f>VLOOKUP(D31,入力補助!$C$2:$Q$44,14,FALSE)</f>
        <v>#N/A</v>
      </c>
      <c r="AA31" s="322" t="e">
        <f>VLOOKUP(D31,入力補助!$C$2:$Q$44,15,FALSE)</f>
        <v>#N/A</v>
      </c>
      <c r="AB31" s="325" t="e">
        <f>VLOOKUP(D31,入力補助!$C$2:$R$44,16,FALSE)</f>
        <v>#N/A</v>
      </c>
      <c r="AC31" s="268" t="str">
        <f t="shared" si="14"/>
        <v>0</v>
      </c>
      <c r="AD31" s="268" t="e">
        <f t="shared" si="17"/>
        <v>#N/A</v>
      </c>
      <c r="AE31" s="268" t="e">
        <f t="shared" si="15"/>
        <v>#N/A</v>
      </c>
      <c r="AF31" s="325" t="e">
        <f t="shared" si="4"/>
        <v>#N/A</v>
      </c>
      <c r="AG31" s="237" t="e">
        <f>IF(AE31="","",VLOOKUP(IF(OR(AND($AV$9=TRUE,$AN$9=D31),AND($AW$9=TRUE,$AO$9=D31),AND($AX$9=TRUE,$AP$9=D31,E31&lt;50),AND($AU$9=TRUE,$AM$9=D31)),AE31,AF31),入力補助!$Z$3:$AA$94,2,FALSE))</f>
        <v>#N/A</v>
      </c>
      <c r="AH31" s="238" t="str">
        <f t="shared" si="16"/>
        <v/>
      </c>
      <c r="AI31" s="237" t="str">
        <f t="shared" si="5"/>
        <v/>
      </c>
      <c r="AJ31" s="239" t="str">
        <f>IFERROR(VLOOKUP(N31,コード表!$B$6:$BJ$3006,MATCH(AD31,コード表!$B$6:$BJ$6,0)),"")</f>
        <v/>
      </c>
    </row>
    <row r="32" spans="1:36" ht="20.399999999999999" customHeight="1">
      <c r="A32" s="329">
        <v>19</v>
      </c>
      <c r="C32" s="420"/>
      <c r="D32" s="418"/>
      <c r="E32" s="442"/>
      <c r="F32" s="420"/>
      <c r="G32" s="294" t="str">
        <f t="shared" si="6"/>
        <v/>
      </c>
      <c r="H32" s="296" t="str">
        <f t="shared" si="7"/>
        <v/>
      </c>
      <c r="I32" s="422"/>
      <c r="J32" s="298" t="str">
        <f t="shared" si="8"/>
        <v/>
      </c>
      <c r="K32" s="420"/>
      <c r="L32" s="300" t="str">
        <f t="shared" si="9"/>
        <v/>
      </c>
      <c r="M32" s="424"/>
      <c r="N32" s="302" t="str">
        <f t="shared" si="10"/>
        <v/>
      </c>
      <c r="O32" s="426"/>
      <c r="P32" s="324" t="str">
        <f>IF(D32="","",IFERROR(VLOOKUP(AD32,入力補助!$U$3:$V$94,2,FALSE),""))</f>
        <v/>
      </c>
      <c r="Q32" s="295" t="str">
        <f t="shared" si="0"/>
        <v/>
      </c>
      <c r="R32" s="428"/>
      <c r="S32" s="304" t="str">
        <f t="shared" si="1"/>
        <v/>
      </c>
      <c r="T32" s="416" t="str">
        <f t="shared" si="2"/>
        <v/>
      </c>
      <c r="U32" s="339" t="str">
        <f t="shared" si="3"/>
        <v/>
      </c>
      <c r="V32" s="268"/>
      <c r="W32" s="268">
        <f t="shared" si="11"/>
        <v>0</v>
      </c>
      <c r="X32" s="268">
        <f t="shared" si="12"/>
        <v>0</v>
      </c>
      <c r="Y32" s="268" t="e">
        <f t="shared" si="13"/>
        <v>#VALUE!</v>
      </c>
      <c r="Z32" s="322" t="e">
        <f>VLOOKUP(D32,入力補助!$C$2:$Q$44,14,FALSE)</f>
        <v>#N/A</v>
      </c>
      <c r="AA32" s="322" t="e">
        <f>VLOOKUP(D32,入力補助!$C$2:$Q$44,15,FALSE)</f>
        <v>#N/A</v>
      </c>
      <c r="AB32" s="325" t="e">
        <f>VLOOKUP(D32,入力補助!$C$2:$R$44,16,FALSE)</f>
        <v>#N/A</v>
      </c>
      <c r="AC32" s="268" t="str">
        <f t="shared" si="14"/>
        <v>0</v>
      </c>
      <c r="AD32" s="268" t="e">
        <f t="shared" si="17"/>
        <v>#N/A</v>
      </c>
      <c r="AE32" s="268" t="e">
        <f t="shared" si="15"/>
        <v>#N/A</v>
      </c>
      <c r="AF32" s="325" t="e">
        <f t="shared" si="4"/>
        <v>#N/A</v>
      </c>
      <c r="AG32" s="237" t="e">
        <f>IF(AE32="","",VLOOKUP(IF(OR(AND($AV$9=TRUE,$AN$9=D32),AND($AW$9=TRUE,$AO$9=D32),AND($AX$9=TRUE,$AP$9=D32,E32&lt;50),AND($AU$9=TRUE,$AM$9=D32)),AE32,AF32),入力補助!$Z$3:$AA$94,2,FALSE))</f>
        <v>#N/A</v>
      </c>
      <c r="AH32" s="238" t="str">
        <f t="shared" si="16"/>
        <v/>
      </c>
      <c r="AI32" s="237" t="str">
        <f t="shared" si="5"/>
        <v/>
      </c>
      <c r="AJ32" s="239" t="str">
        <f>IFERROR(VLOOKUP(N32,コード表!$B$6:$BJ$3006,MATCH(AD32,コード表!$B$6:$BJ$6,0)),"")</f>
        <v/>
      </c>
    </row>
    <row r="33" spans="1:36" ht="20.399999999999999" customHeight="1">
      <c r="A33" s="329">
        <v>20</v>
      </c>
      <c r="C33" s="420"/>
      <c r="D33" s="418"/>
      <c r="E33" s="442"/>
      <c r="F33" s="420"/>
      <c r="G33" s="294" t="str">
        <f t="shared" si="6"/>
        <v/>
      </c>
      <c r="H33" s="296" t="str">
        <f t="shared" si="7"/>
        <v/>
      </c>
      <c r="I33" s="422"/>
      <c r="J33" s="298" t="str">
        <f t="shared" si="8"/>
        <v/>
      </c>
      <c r="K33" s="420"/>
      <c r="L33" s="300" t="str">
        <f t="shared" si="9"/>
        <v/>
      </c>
      <c r="M33" s="424"/>
      <c r="N33" s="302" t="str">
        <f t="shared" si="10"/>
        <v/>
      </c>
      <c r="O33" s="426"/>
      <c r="P33" s="324" t="str">
        <f>IF(D33="","",IFERROR(VLOOKUP(AD33,入力補助!$U$3:$V$94,2,FALSE),""))</f>
        <v/>
      </c>
      <c r="Q33" s="295" t="str">
        <f t="shared" si="0"/>
        <v/>
      </c>
      <c r="R33" s="428"/>
      <c r="S33" s="304" t="str">
        <f t="shared" si="1"/>
        <v/>
      </c>
      <c r="T33" s="416" t="str">
        <f t="shared" si="2"/>
        <v/>
      </c>
      <c r="U33" s="339" t="str">
        <f t="shared" si="3"/>
        <v/>
      </c>
      <c r="V33" s="268"/>
      <c r="W33" s="268">
        <f t="shared" si="11"/>
        <v>0</v>
      </c>
      <c r="X33" s="268">
        <f t="shared" si="12"/>
        <v>0</v>
      </c>
      <c r="Y33" s="268" t="e">
        <f t="shared" si="13"/>
        <v>#VALUE!</v>
      </c>
      <c r="Z33" s="322" t="e">
        <f>VLOOKUP(D33,入力補助!$C$2:$Q$44,14,FALSE)</f>
        <v>#N/A</v>
      </c>
      <c r="AA33" s="322" t="e">
        <f>VLOOKUP(D33,入力補助!$C$2:$Q$44,15,FALSE)</f>
        <v>#N/A</v>
      </c>
      <c r="AB33" s="325" t="e">
        <f>VLOOKUP(D33,入力補助!$C$2:$R$44,16,FALSE)</f>
        <v>#N/A</v>
      </c>
      <c r="AC33" s="268" t="str">
        <f t="shared" si="14"/>
        <v>0</v>
      </c>
      <c r="AD33" s="268" t="e">
        <f t="shared" si="17"/>
        <v>#N/A</v>
      </c>
      <c r="AE33" s="268" t="e">
        <f t="shared" si="15"/>
        <v>#N/A</v>
      </c>
      <c r="AF33" s="325" t="e">
        <f t="shared" si="4"/>
        <v>#N/A</v>
      </c>
      <c r="AG33" s="237" t="e">
        <f>IF(AE33="","",VLOOKUP(IF(OR(AND($AV$9=TRUE,$AN$9=D33),AND($AW$9=TRUE,$AO$9=D33),AND($AX$9=TRUE,$AP$9=D33,E33&lt;50),AND($AU$9=TRUE,$AM$9=D33)),AE33,AF33),入力補助!$Z$3:$AA$94,2,FALSE))</f>
        <v>#N/A</v>
      </c>
      <c r="AH33" s="238" t="str">
        <f t="shared" si="16"/>
        <v/>
      </c>
      <c r="AI33" s="237" t="str">
        <f t="shared" si="5"/>
        <v/>
      </c>
      <c r="AJ33" s="239" t="str">
        <f>IFERROR(VLOOKUP(N33,コード表!$B$6:$BJ$3006,MATCH(AD33,コード表!$B$6:$BJ$6,0)),"")</f>
        <v/>
      </c>
    </row>
    <row r="34" spans="1:36" ht="20.399999999999999" customHeight="1">
      <c r="A34" s="329">
        <v>21</v>
      </c>
      <c r="C34" s="420"/>
      <c r="D34" s="418"/>
      <c r="E34" s="442"/>
      <c r="F34" s="420"/>
      <c r="G34" s="294" t="str">
        <f t="shared" si="6"/>
        <v/>
      </c>
      <c r="H34" s="296" t="str">
        <f t="shared" si="7"/>
        <v/>
      </c>
      <c r="I34" s="422"/>
      <c r="J34" s="298" t="str">
        <f t="shared" si="8"/>
        <v/>
      </c>
      <c r="K34" s="420"/>
      <c r="L34" s="300" t="str">
        <f t="shared" si="9"/>
        <v/>
      </c>
      <c r="M34" s="424"/>
      <c r="N34" s="302" t="str">
        <f t="shared" si="10"/>
        <v/>
      </c>
      <c r="O34" s="426"/>
      <c r="P34" s="324" t="str">
        <f>IF(D34="","",IFERROR(VLOOKUP(AD34,入力補助!$U$3:$V$94,2,FALSE),""))</f>
        <v/>
      </c>
      <c r="Q34" s="295" t="str">
        <f t="shared" si="0"/>
        <v/>
      </c>
      <c r="R34" s="428"/>
      <c r="S34" s="304" t="str">
        <f t="shared" si="1"/>
        <v/>
      </c>
      <c r="T34" s="416" t="str">
        <f t="shared" si="2"/>
        <v/>
      </c>
      <c r="U34" s="339" t="str">
        <f t="shared" si="3"/>
        <v/>
      </c>
      <c r="V34" s="268"/>
      <c r="W34" s="268">
        <f t="shared" si="11"/>
        <v>0</v>
      </c>
      <c r="X34" s="268">
        <f t="shared" si="12"/>
        <v>0</v>
      </c>
      <c r="Y34" s="268" t="e">
        <f t="shared" si="13"/>
        <v>#VALUE!</v>
      </c>
      <c r="Z34" s="322" t="e">
        <f>VLOOKUP(D34,入力補助!$C$2:$Q$44,14,FALSE)</f>
        <v>#N/A</v>
      </c>
      <c r="AA34" s="322" t="e">
        <f>VLOOKUP(D34,入力補助!$C$2:$Q$44,15,FALSE)</f>
        <v>#N/A</v>
      </c>
      <c r="AB34" s="325" t="e">
        <f>VLOOKUP(D34,入力補助!$C$2:$R$44,16,FALSE)</f>
        <v>#N/A</v>
      </c>
      <c r="AC34" s="268" t="str">
        <f t="shared" si="14"/>
        <v>0</v>
      </c>
      <c r="AD34" s="268" t="e">
        <f t="shared" si="17"/>
        <v>#N/A</v>
      </c>
      <c r="AE34" s="268" t="e">
        <f t="shared" si="15"/>
        <v>#N/A</v>
      </c>
      <c r="AF34" s="325" t="e">
        <f t="shared" si="4"/>
        <v>#N/A</v>
      </c>
      <c r="AG34" s="237" t="e">
        <f>IF(AE34="","",VLOOKUP(IF(OR(AND($AV$9=TRUE,$AN$9=D34),AND($AW$9=TRUE,$AO$9=D34),AND($AX$9=TRUE,$AP$9=D34,E34&lt;50),AND($AU$9=TRUE,$AM$9=D34)),AE34,AF34),入力補助!$Z$3:$AA$94,2,FALSE))</f>
        <v>#N/A</v>
      </c>
      <c r="AH34" s="238" t="str">
        <f t="shared" si="16"/>
        <v/>
      </c>
      <c r="AI34" s="237" t="str">
        <f t="shared" si="5"/>
        <v/>
      </c>
      <c r="AJ34" s="239" t="str">
        <f>IFERROR(VLOOKUP(N34,コード表!$B$6:$BJ$3006,MATCH(AD34,コード表!$B$6:$BJ$6,0)),"")</f>
        <v/>
      </c>
    </row>
    <row r="35" spans="1:36" ht="20.399999999999999" customHeight="1">
      <c r="A35" s="329">
        <v>22</v>
      </c>
      <c r="C35" s="420"/>
      <c r="D35" s="418"/>
      <c r="E35" s="442"/>
      <c r="F35" s="420"/>
      <c r="G35" s="294" t="str">
        <f t="shared" si="6"/>
        <v/>
      </c>
      <c r="H35" s="296" t="str">
        <f t="shared" si="7"/>
        <v/>
      </c>
      <c r="I35" s="422"/>
      <c r="J35" s="298" t="str">
        <f t="shared" si="8"/>
        <v/>
      </c>
      <c r="K35" s="420"/>
      <c r="L35" s="300" t="str">
        <f t="shared" si="9"/>
        <v/>
      </c>
      <c r="M35" s="424"/>
      <c r="N35" s="302" t="str">
        <f t="shared" si="10"/>
        <v/>
      </c>
      <c r="O35" s="426"/>
      <c r="P35" s="324" t="str">
        <f>IF(D35="","",IFERROR(VLOOKUP(AD35,入力補助!$U$3:$V$94,2,FALSE),""))</f>
        <v/>
      </c>
      <c r="Q35" s="295" t="str">
        <f t="shared" si="0"/>
        <v/>
      </c>
      <c r="R35" s="428"/>
      <c r="S35" s="304" t="str">
        <f t="shared" si="1"/>
        <v/>
      </c>
      <c r="T35" s="416" t="str">
        <f t="shared" si="2"/>
        <v/>
      </c>
      <c r="U35" s="339" t="str">
        <f t="shared" si="3"/>
        <v/>
      </c>
      <c r="V35" s="268"/>
      <c r="W35" s="268">
        <f t="shared" si="11"/>
        <v>0</v>
      </c>
      <c r="X35" s="268">
        <f t="shared" si="12"/>
        <v>0</v>
      </c>
      <c r="Y35" s="268" t="e">
        <f t="shared" si="13"/>
        <v>#VALUE!</v>
      </c>
      <c r="Z35" s="322" t="e">
        <f>VLOOKUP(D35,入力補助!$C$2:$Q$44,14,FALSE)</f>
        <v>#N/A</v>
      </c>
      <c r="AA35" s="322" t="e">
        <f>VLOOKUP(D35,入力補助!$C$2:$Q$44,15,FALSE)</f>
        <v>#N/A</v>
      </c>
      <c r="AB35" s="325" t="e">
        <f>VLOOKUP(D35,入力補助!$C$2:$R$44,16,FALSE)</f>
        <v>#N/A</v>
      </c>
      <c r="AC35" s="268" t="str">
        <f t="shared" si="14"/>
        <v>0</v>
      </c>
      <c r="AD35" s="268" t="e">
        <f t="shared" si="17"/>
        <v>#N/A</v>
      </c>
      <c r="AE35" s="268" t="e">
        <f t="shared" si="15"/>
        <v>#N/A</v>
      </c>
      <c r="AF35" s="325" t="e">
        <f t="shared" si="4"/>
        <v>#N/A</v>
      </c>
      <c r="AG35" s="237" t="e">
        <f>IF(AE35="","",VLOOKUP(IF(OR(AND($AV$9=TRUE,$AN$9=D35),AND($AW$9=TRUE,$AO$9=D35),AND($AX$9=TRUE,$AP$9=D35,E35&lt;50),AND($AU$9=TRUE,$AM$9=D35)),AE35,AF35),入力補助!$Z$3:$AA$94,2,FALSE))</f>
        <v>#N/A</v>
      </c>
      <c r="AH35" s="238" t="str">
        <f t="shared" si="16"/>
        <v/>
      </c>
      <c r="AI35" s="237" t="str">
        <f t="shared" si="5"/>
        <v/>
      </c>
      <c r="AJ35" s="239" t="str">
        <f>IFERROR(VLOOKUP(N35,コード表!$B$6:$BJ$3006,MATCH(AD35,コード表!$B$6:$BJ$6,0)),"")</f>
        <v/>
      </c>
    </row>
    <row r="36" spans="1:36" ht="20.399999999999999" customHeight="1">
      <c r="A36" s="329">
        <v>23</v>
      </c>
      <c r="C36" s="420"/>
      <c r="D36" s="418"/>
      <c r="E36" s="442"/>
      <c r="F36" s="420"/>
      <c r="G36" s="294" t="str">
        <f t="shared" si="6"/>
        <v/>
      </c>
      <c r="H36" s="296" t="str">
        <f t="shared" si="7"/>
        <v/>
      </c>
      <c r="I36" s="422"/>
      <c r="J36" s="298" t="str">
        <f t="shared" si="8"/>
        <v/>
      </c>
      <c r="K36" s="420"/>
      <c r="L36" s="300" t="str">
        <f t="shared" si="9"/>
        <v/>
      </c>
      <c r="M36" s="424"/>
      <c r="N36" s="302" t="str">
        <f t="shared" si="10"/>
        <v/>
      </c>
      <c r="O36" s="426"/>
      <c r="P36" s="324" t="str">
        <f>IF(D36="","",IFERROR(VLOOKUP(AD36,入力補助!$U$3:$V$94,2,FALSE),""))</f>
        <v/>
      </c>
      <c r="Q36" s="295" t="str">
        <f t="shared" si="0"/>
        <v/>
      </c>
      <c r="R36" s="428"/>
      <c r="S36" s="304" t="str">
        <f>IF(D36="","",IF(ISNUMBER(R36)=TRUE,R36,IF(ISNUMBER(AJ36)=TRUE,ROUND(AJ36,2),IF(ISNUMBER(P36)=TRUE,ROUND(P36*Q36/1000,2),ROUND(O36*Q36/1000,2)))))</f>
        <v/>
      </c>
      <c r="T36" s="416" t="str">
        <f t="shared" si="2"/>
        <v/>
      </c>
      <c r="U36" s="339" t="str">
        <f t="shared" si="3"/>
        <v/>
      </c>
      <c r="V36" s="268"/>
      <c r="W36" s="268">
        <f t="shared" si="11"/>
        <v>0</v>
      </c>
      <c r="X36" s="268">
        <f t="shared" si="12"/>
        <v>0</v>
      </c>
      <c r="Y36" s="268" t="e">
        <f t="shared" si="13"/>
        <v>#VALUE!</v>
      </c>
      <c r="Z36" s="322" t="e">
        <f>VLOOKUP(D36,入力補助!$C$2:$Q$44,14,FALSE)</f>
        <v>#N/A</v>
      </c>
      <c r="AA36" s="322" t="e">
        <f>VLOOKUP(D36,入力補助!$C$2:$Q$44,15,FALSE)</f>
        <v>#N/A</v>
      </c>
      <c r="AB36" s="325" t="e">
        <f>VLOOKUP(D36,入力補助!$C$2:$R$44,16,FALSE)</f>
        <v>#N/A</v>
      </c>
      <c r="AC36" s="268" t="str">
        <f t="shared" si="14"/>
        <v>0</v>
      </c>
      <c r="AD36" s="268" t="e">
        <f t="shared" si="17"/>
        <v>#N/A</v>
      </c>
      <c r="AE36" s="268" t="e">
        <f t="shared" si="15"/>
        <v>#N/A</v>
      </c>
      <c r="AF36" s="325" t="e">
        <f t="shared" si="4"/>
        <v>#N/A</v>
      </c>
      <c r="AG36" s="237" t="e">
        <f>IF(AE36="","",VLOOKUP(IF(OR(AND($AV$9=TRUE,$AN$9=D36),AND($AW$9=TRUE,$AO$9=D36),AND($AX$9=TRUE,$AP$9=D36,E36&lt;50),AND($AU$9=TRUE,$AM$9=D36)),AE36,AF36),入力補助!$Z$3:$AA$94,2,FALSE))</f>
        <v>#N/A</v>
      </c>
      <c r="AH36" s="238" t="str">
        <f t="shared" si="16"/>
        <v/>
      </c>
      <c r="AI36" s="237" t="str">
        <f t="shared" si="5"/>
        <v/>
      </c>
      <c r="AJ36" s="239" t="str">
        <f>IFERROR(VLOOKUP(N36,コード表!$B$6:$BJ$3006,MATCH(AD36,コード表!$B$6:$BJ$6,0)),"")</f>
        <v/>
      </c>
    </row>
    <row r="37" spans="1:36" ht="20.399999999999999" customHeight="1">
      <c r="A37" s="329">
        <v>24</v>
      </c>
      <c r="C37" s="420"/>
      <c r="D37" s="418"/>
      <c r="E37" s="442"/>
      <c r="F37" s="420"/>
      <c r="G37" s="294" t="str">
        <f t="shared" si="6"/>
        <v/>
      </c>
      <c r="H37" s="296" t="str">
        <f t="shared" si="7"/>
        <v/>
      </c>
      <c r="I37" s="422"/>
      <c r="J37" s="298" t="str">
        <f t="shared" si="8"/>
        <v/>
      </c>
      <c r="K37" s="420"/>
      <c r="L37" s="300" t="str">
        <f t="shared" si="9"/>
        <v/>
      </c>
      <c r="M37" s="424"/>
      <c r="N37" s="302" t="str">
        <f t="shared" si="10"/>
        <v/>
      </c>
      <c r="O37" s="426"/>
      <c r="P37" s="324" t="str">
        <f>IF(D37="","",IFERROR(VLOOKUP(AD37,入力補助!$U$3:$V$94,2,FALSE),""))</f>
        <v/>
      </c>
      <c r="Q37" s="295" t="str">
        <f t="shared" si="0"/>
        <v/>
      </c>
      <c r="R37" s="428"/>
      <c r="S37" s="304" t="str">
        <f t="shared" si="1"/>
        <v/>
      </c>
      <c r="T37" s="416" t="str">
        <f t="shared" si="2"/>
        <v/>
      </c>
      <c r="U37" s="339" t="str">
        <f t="shared" si="3"/>
        <v/>
      </c>
      <c r="V37" s="268"/>
      <c r="W37" s="268">
        <f t="shared" si="11"/>
        <v>0</v>
      </c>
      <c r="X37" s="268">
        <f t="shared" si="12"/>
        <v>0</v>
      </c>
      <c r="Y37" s="268" t="e">
        <f t="shared" si="13"/>
        <v>#VALUE!</v>
      </c>
      <c r="Z37" s="322" t="e">
        <f>VLOOKUP(D37,入力補助!$C$2:$Q$44,14,FALSE)</f>
        <v>#N/A</v>
      </c>
      <c r="AA37" s="322" t="e">
        <f>VLOOKUP(D37,入力補助!$C$2:$Q$44,15,FALSE)</f>
        <v>#N/A</v>
      </c>
      <c r="AB37" s="325" t="e">
        <f>VLOOKUP(D37,入力補助!$C$2:$R$44,16,FALSE)</f>
        <v>#N/A</v>
      </c>
      <c r="AC37" s="268" t="str">
        <f t="shared" si="14"/>
        <v>0</v>
      </c>
      <c r="AD37" s="268" t="e">
        <f t="shared" si="17"/>
        <v>#N/A</v>
      </c>
      <c r="AE37" s="268" t="e">
        <f t="shared" si="15"/>
        <v>#N/A</v>
      </c>
      <c r="AF37" s="325" t="e">
        <f t="shared" si="4"/>
        <v>#N/A</v>
      </c>
      <c r="AG37" s="237" t="e">
        <f>IF(AE37="","",VLOOKUP(IF(OR(AND($AV$9=TRUE,$AN$9=D37),AND($AW$9=TRUE,$AO$9=D37),AND($AX$9=TRUE,$AP$9=D37,E37&lt;50),AND($AU$9=TRUE,$AM$9=D37)),AE37,AF37),入力補助!$Z$3:$AA$94,2,FALSE))</f>
        <v>#N/A</v>
      </c>
      <c r="AH37" s="238" t="str">
        <f t="shared" si="16"/>
        <v/>
      </c>
      <c r="AI37" s="237" t="str">
        <f t="shared" si="5"/>
        <v/>
      </c>
      <c r="AJ37" s="239" t="str">
        <f>IFERROR(VLOOKUP(N37,コード表!$B$6:$BJ$3006,MATCH(AD37,コード表!$B$6:$BJ$6,0)),"")</f>
        <v/>
      </c>
    </row>
    <row r="38" spans="1:36" ht="20.399999999999999" customHeight="1">
      <c r="A38" s="329">
        <v>25</v>
      </c>
      <c r="C38" s="420"/>
      <c r="D38" s="418"/>
      <c r="E38" s="442"/>
      <c r="F38" s="420"/>
      <c r="G38" s="294" t="str">
        <f t="shared" si="6"/>
        <v/>
      </c>
      <c r="H38" s="296" t="str">
        <f t="shared" si="7"/>
        <v/>
      </c>
      <c r="I38" s="422"/>
      <c r="J38" s="298" t="str">
        <f t="shared" si="8"/>
        <v/>
      </c>
      <c r="K38" s="420"/>
      <c r="L38" s="300" t="str">
        <f t="shared" si="9"/>
        <v/>
      </c>
      <c r="M38" s="424"/>
      <c r="N38" s="302" t="str">
        <f t="shared" si="10"/>
        <v/>
      </c>
      <c r="O38" s="426"/>
      <c r="P38" s="324" t="str">
        <f>IF(D38="","",IFERROR(VLOOKUP(AD38,入力補助!$U$3:$V$94,2,FALSE),""))</f>
        <v/>
      </c>
      <c r="Q38" s="295" t="str">
        <f t="shared" si="0"/>
        <v/>
      </c>
      <c r="R38" s="428"/>
      <c r="S38" s="304" t="str">
        <f t="shared" si="1"/>
        <v/>
      </c>
      <c r="T38" s="416" t="str">
        <f t="shared" si="2"/>
        <v/>
      </c>
      <c r="U38" s="339" t="str">
        <f t="shared" si="3"/>
        <v/>
      </c>
      <c r="V38" s="268"/>
      <c r="W38" s="268">
        <f t="shared" si="11"/>
        <v>0</v>
      </c>
      <c r="X38" s="268">
        <f t="shared" si="12"/>
        <v>0</v>
      </c>
      <c r="Y38" s="268" t="e">
        <f t="shared" si="13"/>
        <v>#VALUE!</v>
      </c>
      <c r="Z38" s="322" t="e">
        <f>VLOOKUP(D38,入力補助!$C$2:$Q$44,14,FALSE)</f>
        <v>#N/A</v>
      </c>
      <c r="AA38" s="322" t="e">
        <f>VLOOKUP(D38,入力補助!$C$2:$Q$44,15,FALSE)</f>
        <v>#N/A</v>
      </c>
      <c r="AB38" s="325" t="e">
        <f>VLOOKUP(D38,入力補助!$C$2:$R$44,16,FALSE)</f>
        <v>#N/A</v>
      </c>
      <c r="AC38" s="268" t="str">
        <f t="shared" si="14"/>
        <v>0</v>
      </c>
      <c r="AD38" s="268" t="e">
        <f t="shared" si="17"/>
        <v>#N/A</v>
      </c>
      <c r="AE38" s="268" t="e">
        <f t="shared" si="15"/>
        <v>#N/A</v>
      </c>
      <c r="AF38" s="325" t="e">
        <f t="shared" si="4"/>
        <v>#N/A</v>
      </c>
      <c r="AG38" s="237" t="e">
        <f>IF(AE38="","",VLOOKUP(IF(OR(AND($AV$9=TRUE,$AN$9=D38),AND($AW$9=TRUE,$AO$9=D38),AND($AX$9=TRUE,$AP$9=D38,E38&lt;50),AND($AU$9=TRUE,$AM$9=D38)),AE38,AF38),入力補助!$Z$3:$AA$94,2,FALSE))</f>
        <v>#N/A</v>
      </c>
      <c r="AH38" s="238" t="str">
        <f t="shared" si="16"/>
        <v/>
      </c>
      <c r="AI38" s="237" t="str">
        <f t="shared" si="5"/>
        <v/>
      </c>
      <c r="AJ38" s="239" t="str">
        <f>IFERROR(VLOOKUP(N38,コード表!$B$6:$BJ$3006,MATCH(AD38,コード表!$B$6:$BJ$6,0)),"")</f>
        <v/>
      </c>
    </row>
    <row r="39" spans="1:36" ht="20.399999999999999" customHeight="1">
      <c r="A39" s="329">
        <v>26</v>
      </c>
      <c r="C39" s="420"/>
      <c r="D39" s="418"/>
      <c r="E39" s="442"/>
      <c r="F39" s="420"/>
      <c r="G39" s="294" t="str">
        <f t="shared" si="6"/>
        <v/>
      </c>
      <c r="H39" s="296" t="str">
        <f t="shared" si="7"/>
        <v/>
      </c>
      <c r="I39" s="422"/>
      <c r="J39" s="298" t="str">
        <f t="shared" si="8"/>
        <v/>
      </c>
      <c r="K39" s="420"/>
      <c r="L39" s="300" t="str">
        <f t="shared" si="9"/>
        <v/>
      </c>
      <c r="M39" s="424"/>
      <c r="N39" s="302" t="str">
        <f t="shared" si="10"/>
        <v/>
      </c>
      <c r="O39" s="426"/>
      <c r="P39" s="324" t="str">
        <f>IF(D39="","",IFERROR(VLOOKUP(AD39,入力補助!$U$3:$V$94,2,FALSE),""))</f>
        <v/>
      </c>
      <c r="Q39" s="295" t="str">
        <f t="shared" si="0"/>
        <v/>
      </c>
      <c r="R39" s="428"/>
      <c r="S39" s="304" t="str">
        <f t="shared" si="1"/>
        <v/>
      </c>
      <c r="T39" s="416" t="str">
        <f t="shared" si="2"/>
        <v/>
      </c>
      <c r="U39" s="339" t="str">
        <f t="shared" si="3"/>
        <v/>
      </c>
      <c r="V39" s="268"/>
      <c r="W39" s="268">
        <f t="shared" si="11"/>
        <v>0</v>
      </c>
      <c r="X39" s="268">
        <f t="shared" si="12"/>
        <v>0</v>
      </c>
      <c r="Y39" s="268" t="e">
        <f t="shared" si="13"/>
        <v>#VALUE!</v>
      </c>
      <c r="Z39" s="322" t="e">
        <f>VLOOKUP(D39,入力補助!$C$2:$Q$44,14,FALSE)</f>
        <v>#N/A</v>
      </c>
      <c r="AA39" s="322" t="e">
        <f>VLOOKUP(D39,入力補助!$C$2:$Q$44,15,FALSE)</f>
        <v>#N/A</v>
      </c>
      <c r="AB39" s="325" t="e">
        <f>VLOOKUP(D39,入力補助!$C$2:$R$44,16,FALSE)</f>
        <v>#N/A</v>
      </c>
      <c r="AC39" s="268" t="str">
        <f t="shared" si="14"/>
        <v>0</v>
      </c>
      <c r="AD39" s="268" t="e">
        <f t="shared" si="17"/>
        <v>#N/A</v>
      </c>
      <c r="AE39" s="268" t="e">
        <f t="shared" si="15"/>
        <v>#N/A</v>
      </c>
      <c r="AF39" s="325" t="e">
        <f t="shared" si="4"/>
        <v>#N/A</v>
      </c>
      <c r="AG39" s="237" t="e">
        <f>IF(AE39="","",VLOOKUP(IF(OR(AND($AV$9=TRUE,$AN$9=D39),AND($AW$9=TRUE,$AO$9=D39),AND($AX$9=TRUE,$AP$9=D39,E39&lt;50),AND($AU$9=TRUE,$AM$9=D39)),AE39,AF39),入力補助!$Z$3:$AA$94,2,FALSE))</f>
        <v>#N/A</v>
      </c>
      <c r="AH39" s="238" t="str">
        <f t="shared" si="16"/>
        <v/>
      </c>
      <c r="AI39" s="237" t="str">
        <f t="shared" si="5"/>
        <v/>
      </c>
      <c r="AJ39" s="239" t="str">
        <f>IFERROR(VLOOKUP(N39,コード表!$B$6:$BJ$3006,MATCH(AD39,コード表!$B$6:$BJ$6,0)),"")</f>
        <v/>
      </c>
    </row>
    <row r="40" spans="1:36" ht="20.399999999999999" customHeight="1">
      <c r="A40" s="329">
        <v>27</v>
      </c>
      <c r="C40" s="420"/>
      <c r="D40" s="418"/>
      <c r="E40" s="442"/>
      <c r="F40" s="420"/>
      <c r="G40" s="294" t="str">
        <f t="shared" si="6"/>
        <v/>
      </c>
      <c r="H40" s="296" t="str">
        <f t="shared" si="7"/>
        <v/>
      </c>
      <c r="I40" s="422"/>
      <c r="J40" s="298" t="str">
        <f t="shared" si="8"/>
        <v/>
      </c>
      <c r="K40" s="420"/>
      <c r="L40" s="300" t="str">
        <f t="shared" si="9"/>
        <v/>
      </c>
      <c r="M40" s="424"/>
      <c r="N40" s="302" t="str">
        <f t="shared" si="10"/>
        <v/>
      </c>
      <c r="O40" s="426"/>
      <c r="P40" s="324" t="str">
        <f>IF(D40="","",IFERROR(VLOOKUP(AD40,入力補助!$U$3:$V$94,2,FALSE),""))</f>
        <v/>
      </c>
      <c r="Q40" s="295" t="str">
        <f t="shared" si="0"/>
        <v/>
      </c>
      <c r="R40" s="428"/>
      <c r="S40" s="304" t="str">
        <f t="shared" si="1"/>
        <v/>
      </c>
      <c r="T40" s="416" t="str">
        <f t="shared" si="2"/>
        <v/>
      </c>
      <c r="U40" s="339" t="str">
        <f t="shared" si="3"/>
        <v/>
      </c>
      <c r="V40" s="268"/>
      <c r="W40" s="268">
        <f t="shared" si="11"/>
        <v>0</v>
      </c>
      <c r="X40" s="268">
        <f t="shared" si="12"/>
        <v>0</v>
      </c>
      <c r="Y40" s="268" t="e">
        <f t="shared" si="13"/>
        <v>#VALUE!</v>
      </c>
      <c r="Z40" s="322" t="e">
        <f>VLOOKUP(D40,入力補助!$C$2:$Q$44,14,FALSE)</f>
        <v>#N/A</v>
      </c>
      <c r="AA40" s="322" t="e">
        <f>VLOOKUP(D40,入力補助!$C$2:$Q$44,15,FALSE)</f>
        <v>#N/A</v>
      </c>
      <c r="AB40" s="325" t="e">
        <f>VLOOKUP(D40,入力補助!$C$2:$R$44,16,FALSE)</f>
        <v>#N/A</v>
      </c>
      <c r="AC40" s="268" t="str">
        <f t="shared" si="14"/>
        <v>0</v>
      </c>
      <c r="AD40" s="268" t="e">
        <f t="shared" si="17"/>
        <v>#N/A</v>
      </c>
      <c r="AE40" s="268" t="e">
        <f t="shared" si="15"/>
        <v>#N/A</v>
      </c>
      <c r="AF40" s="325" t="e">
        <f t="shared" si="4"/>
        <v>#N/A</v>
      </c>
      <c r="AG40" s="237" t="e">
        <f>IF(AE40="","",VLOOKUP(IF(OR(AND($AV$9=TRUE,$AN$9=D40),AND($AW$9=TRUE,$AO$9=D40),AND($AX$9=TRUE,$AP$9=D40,E40&lt;50),AND($AU$9=TRUE,$AM$9=D40)),AE40,AF40),入力補助!$Z$3:$AA$94,2,FALSE))</f>
        <v>#N/A</v>
      </c>
      <c r="AH40" s="238" t="str">
        <f t="shared" si="16"/>
        <v/>
      </c>
      <c r="AI40" s="237" t="str">
        <f t="shared" si="5"/>
        <v/>
      </c>
      <c r="AJ40" s="239" t="str">
        <f>IFERROR(VLOOKUP(N40,コード表!$B$6:$BJ$3006,MATCH(AD40,コード表!$B$6:$BJ$6,0)),"")</f>
        <v/>
      </c>
    </row>
    <row r="41" spans="1:36" ht="20.399999999999999" customHeight="1">
      <c r="A41" s="329">
        <v>28</v>
      </c>
      <c r="C41" s="420"/>
      <c r="D41" s="418"/>
      <c r="E41" s="442"/>
      <c r="F41" s="420"/>
      <c r="G41" s="294" t="str">
        <f t="shared" si="6"/>
        <v/>
      </c>
      <c r="H41" s="296" t="str">
        <f t="shared" si="7"/>
        <v/>
      </c>
      <c r="I41" s="422"/>
      <c r="J41" s="298" t="str">
        <f t="shared" si="8"/>
        <v/>
      </c>
      <c r="K41" s="420"/>
      <c r="L41" s="300" t="str">
        <f t="shared" si="9"/>
        <v/>
      </c>
      <c r="M41" s="424"/>
      <c r="N41" s="302" t="str">
        <f t="shared" si="10"/>
        <v/>
      </c>
      <c r="O41" s="426"/>
      <c r="P41" s="324" t="str">
        <f>IF(D41="","",IFERROR(VLOOKUP(AD41,入力補助!$U$3:$V$94,2,FALSE),""))</f>
        <v/>
      </c>
      <c r="Q41" s="295" t="str">
        <f t="shared" si="0"/>
        <v/>
      </c>
      <c r="R41" s="428"/>
      <c r="S41" s="304" t="str">
        <f t="shared" si="1"/>
        <v/>
      </c>
      <c r="T41" s="416" t="str">
        <f t="shared" si="2"/>
        <v/>
      </c>
      <c r="U41" s="339" t="str">
        <f t="shared" si="3"/>
        <v/>
      </c>
      <c r="V41" s="268"/>
      <c r="W41" s="268">
        <f t="shared" si="11"/>
        <v>0</v>
      </c>
      <c r="X41" s="268">
        <f t="shared" si="12"/>
        <v>0</v>
      </c>
      <c r="Y41" s="268" t="e">
        <f t="shared" si="13"/>
        <v>#VALUE!</v>
      </c>
      <c r="Z41" s="322" t="e">
        <f>VLOOKUP(D41,入力補助!$C$2:$Q$44,14,FALSE)</f>
        <v>#N/A</v>
      </c>
      <c r="AA41" s="322" t="e">
        <f>VLOOKUP(D41,入力補助!$C$2:$Q$44,15,FALSE)</f>
        <v>#N/A</v>
      </c>
      <c r="AB41" s="325" t="e">
        <f>VLOOKUP(D41,入力補助!$C$2:$R$44,16,FALSE)</f>
        <v>#N/A</v>
      </c>
      <c r="AC41" s="268" t="str">
        <f t="shared" si="14"/>
        <v>0</v>
      </c>
      <c r="AD41" s="268" t="e">
        <f t="shared" si="17"/>
        <v>#N/A</v>
      </c>
      <c r="AE41" s="268" t="e">
        <f t="shared" si="15"/>
        <v>#N/A</v>
      </c>
      <c r="AF41" s="325" t="e">
        <f t="shared" si="4"/>
        <v>#N/A</v>
      </c>
      <c r="AG41" s="237" t="e">
        <f>IF(AE41="","",VLOOKUP(IF(OR(AND($AV$9=TRUE,$AN$9=D41),AND($AW$9=TRUE,$AO$9=D41),AND($AX$9=TRUE,$AP$9=D41,E41&lt;50),AND($AU$9=TRUE,$AM$9=D41)),AE41,AF41),入力補助!$Z$3:$AA$94,2,FALSE))</f>
        <v>#N/A</v>
      </c>
      <c r="AH41" s="238" t="str">
        <f t="shared" si="16"/>
        <v/>
      </c>
      <c r="AI41" s="237" t="str">
        <f t="shared" si="5"/>
        <v/>
      </c>
      <c r="AJ41" s="239" t="str">
        <f>IFERROR(VLOOKUP(N41,コード表!$B$6:$BJ$3006,MATCH(AD41,コード表!$B$6:$BJ$6,0)),"")</f>
        <v/>
      </c>
    </row>
    <row r="42" spans="1:36" ht="20.399999999999999" customHeight="1">
      <c r="A42" s="329">
        <v>29</v>
      </c>
      <c r="C42" s="420"/>
      <c r="D42" s="418"/>
      <c r="E42" s="442"/>
      <c r="F42" s="420"/>
      <c r="G42" s="294" t="str">
        <f t="shared" si="6"/>
        <v/>
      </c>
      <c r="H42" s="296" t="str">
        <f t="shared" si="7"/>
        <v/>
      </c>
      <c r="I42" s="422"/>
      <c r="J42" s="298" t="str">
        <f t="shared" si="8"/>
        <v/>
      </c>
      <c r="K42" s="420"/>
      <c r="L42" s="300" t="str">
        <f t="shared" si="9"/>
        <v/>
      </c>
      <c r="M42" s="424"/>
      <c r="N42" s="302" t="str">
        <f t="shared" si="10"/>
        <v/>
      </c>
      <c r="O42" s="426"/>
      <c r="P42" s="324" t="str">
        <f>IF(D42="","",IFERROR(VLOOKUP(AD42,入力補助!$U$3:$V$94,2,FALSE),""))</f>
        <v/>
      </c>
      <c r="Q42" s="295" t="str">
        <f t="shared" si="0"/>
        <v/>
      </c>
      <c r="R42" s="428"/>
      <c r="S42" s="304" t="str">
        <f t="shared" si="1"/>
        <v/>
      </c>
      <c r="T42" s="416" t="str">
        <f t="shared" si="2"/>
        <v/>
      </c>
      <c r="U42" s="339" t="str">
        <f t="shared" si="3"/>
        <v/>
      </c>
      <c r="V42" s="268"/>
      <c r="W42" s="268">
        <f t="shared" si="11"/>
        <v>0</v>
      </c>
      <c r="X42" s="268">
        <f t="shared" si="12"/>
        <v>0</v>
      </c>
      <c r="Y42" s="268" t="e">
        <f t="shared" si="13"/>
        <v>#VALUE!</v>
      </c>
      <c r="Z42" s="322" t="e">
        <f>VLOOKUP(D42,入力補助!$C$2:$Q$44,14,FALSE)</f>
        <v>#N/A</v>
      </c>
      <c r="AA42" s="322" t="e">
        <f>VLOOKUP(D42,入力補助!$C$2:$Q$44,15,FALSE)</f>
        <v>#N/A</v>
      </c>
      <c r="AB42" s="325" t="e">
        <f>VLOOKUP(D42,入力補助!$C$2:$R$44,16,FALSE)</f>
        <v>#N/A</v>
      </c>
      <c r="AC42" s="268" t="str">
        <f t="shared" si="14"/>
        <v>0</v>
      </c>
      <c r="AD42" s="268" t="e">
        <f t="shared" si="17"/>
        <v>#N/A</v>
      </c>
      <c r="AE42" s="268" t="e">
        <f t="shared" si="15"/>
        <v>#N/A</v>
      </c>
      <c r="AF42" s="325" t="e">
        <f t="shared" si="4"/>
        <v>#N/A</v>
      </c>
      <c r="AG42" s="237" t="e">
        <f>IF(AE42="","",VLOOKUP(IF(OR(AND($AV$9=TRUE,$AN$9=D42),AND($AW$9=TRUE,$AO$9=D42),AND($AX$9=TRUE,$AP$9=D42,E42&lt;50),AND($AU$9=TRUE,$AM$9=D42)),AE42,AF42),入力補助!$Z$3:$AA$94,2,FALSE))</f>
        <v>#N/A</v>
      </c>
      <c r="AH42" s="238" t="str">
        <f t="shared" si="16"/>
        <v/>
      </c>
      <c r="AI42" s="237" t="str">
        <f t="shared" si="5"/>
        <v/>
      </c>
      <c r="AJ42" s="239" t="str">
        <f>IFERROR(VLOOKUP(N42,コード表!$B$6:$BJ$3006,MATCH(AD42,コード表!$B$6:$BJ$6,0)),"")</f>
        <v/>
      </c>
    </row>
    <row r="43" spans="1:36" ht="20.399999999999999" customHeight="1">
      <c r="A43" s="329">
        <v>30</v>
      </c>
      <c r="C43" s="420"/>
      <c r="D43" s="418"/>
      <c r="E43" s="442"/>
      <c r="F43" s="420"/>
      <c r="G43" s="294" t="str">
        <f t="shared" si="6"/>
        <v/>
      </c>
      <c r="H43" s="296" t="str">
        <f t="shared" si="7"/>
        <v/>
      </c>
      <c r="I43" s="422"/>
      <c r="J43" s="298" t="str">
        <f t="shared" si="8"/>
        <v/>
      </c>
      <c r="K43" s="420"/>
      <c r="L43" s="300" t="str">
        <f t="shared" si="9"/>
        <v/>
      </c>
      <c r="M43" s="424"/>
      <c r="N43" s="302" t="str">
        <f t="shared" si="10"/>
        <v/>
      </c>
      <c r="O43" s="426"/>
      <c r="P43" s="324" t="str">
        <f>IF(D43="","",IFERROR(VLOOKUP(AD43,入力補助!$U$3:$V$94,2,FALSE),""))</f>
        <v/>
      </c>
      <c r="Q43" s="295" t="str">
        <f t="shared" si="0"/>
        <v/>
      </c>
      <c r="R43" s="428"/>
      <c r="S43" s="304" t="str">
        <f t="shared" si="1"/>
        <v/>
      </c>
      <c r="T43" s="416" t="str">
        <f t="shared" si="2"/>
        <v/>
      </c>
      <c r="U43" s="339" t="str">
        <f t="shared" si="3"/>
        <v/>
      </c>
      <c r="V43" s="268"/>
      <c r="W43" s="268">
        <f t="shared" si="11"/>
        <v>0</v>
      </c>
      <c r="X43" s="268">
        <f t="shared" si="12"/>
        <v>0</v>
      </c>
      <c r="Y43" s="268" t="e">
        <f t="shared" si="13"/>
        <v>#VALUE!</v>
      </c>
      <c r="Z43" s="322" t="e">
        <f>VLOOKUP(D43,入力補助!$C$2:$Q$44,14,FALSE)</f>
        <v>#N/A</v>
      </c>
      <c r="AA43" s="322" t="e">
        <f>VLOOKUP(D43,入力補助!$C$2:$Q$44,15,FALSE)</f>
        <v>#N/A</v>
      </c>
      <c r="AB43" s="325" t="e">
        <f>VLOOKUP(D43,入力補助!$C$2:$R$44,16,FALSE)</f>
        <v>#N/A</v>
      </c>
      <c r="AC43" s="268" t="str">
        <f t="shared" si="14"/>
        <v>0</v>
      </c>
      <c r="AD43" s="268" t="e">
        <f t="shared" si="17"/>
        <v>#N/A</v>
      </c>
      <c r="AE43" s="268" t="e">
        <f t="shared" si="15"/>
        <v>#N/A</v>
      </c>
      <c r="AF43" s="325" t="e">
        <f t="shared" si="4"/>
        <v>#N/A</v>
      </c>
      <c r="AG43" s="237" t="e">
        <f>IF(AE43="","",VLOOKUP(IF(OR(AND($AV$9=TRUE,$AN$9=D43),AND($AW$9=TRUE,$AO$9=D43),AND($AX$9=TRUE,$AP$9=D43,E43&lt;50),AND($AU$9=TRUE,$AM$9=D43)),AE43,AF43),入力補助!$Z$3:$AA$94,2,FALSE))</f>
        <v>#N/A</v>
      </c>
      <c r="AH43" s="238" t="str">
        <f t="shared" si="16"/>
        <v/>
      </c>
      <c r="AI43" s="237" t="str">
        <f t="shared" si="5"/>
        <v/>
      </c>
      <c r="AJ43" s="239" t="str">
        <f>IFERROR(VLOOKUP(N43,コード表!$B$6:$BJ$3006,MATCH(AD43,コード表!$B$6:$BJ$6,0)),"")</f>
        <v/>
      </c>
    </row>
    <row r="44" spans="1:36" ht="20.399999999999999" customHeight="1">
      <c r="A44" s="329">
        <v>31</v>
      </c>
      <c r="C44" s="420"/>
      <c r="D44" s="418"/>
      <c r="E44" s="442"/>
      <c r="F44" s="420"/>
      <c r="G44" s="294" t="str">
        <f t="shared" si="6"/>
        <v/>
      </c>
      <c r="H44" s="296" t="str">
        <f t="shared" si="7"/>
        <v/>
      </c>
      <c r="I44" s="422"/>
      <c r="J44" s="298" t="str">
        <f t="shared" si="8"/>
        <v/>
      </c>
      <c r="K44" s="420"/>
      <c r="L44" s="300" t="str">
        <f t="shared" si="9"/>
        <v/>
      </c>
      <c r="M44" s="424"/>
      <c r="N44" s="302" t="str">
        <f t="shared" si="10"/>
        <v/>
      </c>
      <c r="O44" s="426"/>
      <c r="P44" s="324" t="str">
        <f>IF(D44="","",IFERROR(VLOOKUP(AD44,入力補助!$U$3:$V$94,2,FALSE),""))</f>
        <v/>
      </c>
      <c r="Q44" s="295" t="str">
        <f t="shared" si="0"/>
        <v/>
      </c>
      <c r="R44" s="428"/>
      <c r="S44" s="304" t="str">
        <f t="shared" si="1"/>
        <v/>
      </c>
      <c r="T44" s="416" t="str">
        <f t="shared" si="2"/>
        <v/>
      </c>
      <c r="U44" s="339" t="str">
        <f t="shared" si="3"/>
        <v/>
      </c>
      <c r="V44" s="268"/>
      <c r="W44" s="268">
        <f t="shared" si="11"/>
        <v>0</v>
      </c>
      <c r="X44" s="268">
        <f t="shared" si="12"/>
        <v>0</v>
      </c>
      <c r="Y44" s="268" t="e">
        <f t="shared" si="13"/>
        <v>#VALUE!</v>
      </c>
      <c r="Z44" s="322" t="e">
        <f>VLOOKUP(D44,入力補助!$C$2:$Q$44,14,FALSE)</f>
        <v>#N/A</v>
      </c>
      <c r="AA44" s="322" t="e">
        <f>VLOOKUP(D44,入力補助!$C$2:$Q$44,15,FALSE)</f>
        <v>#N/A</v>
      </c>
      <c r="AB44" s="325" t="e">
        <f>VLOOKUP(D44,入力補助!$C$2:$R$44,16,FALSE)</f>
        <v>#N/A</v>
      </c>
      <c r="AC44" s="268" t="str">
        <f t="shared" si="14"/>
        <v>0</v>
      </c>
      <c r="AD44" s="268" t="e">
        <f t="shared" si="17"/>
        <v>#N/A</v>
      </c>
      <c r="AE44" s="268" t="e">
        <f t="shared" si="15"/>
        <v>#N/A</v>
      </c>
      <c r="AF44" s="325" t="e">
        <f t="shared" si="4"/>
        <v>#N/A</v>
      </c>
      <c r="AG44" s="237" t="e">
        <f>IF(AE44="","",VLOOKUP(IF(OR(AND($AV$9=TRUE,$AN$9=D44),AND($AW$9=TRUE,$AO$9=D44),AND($AX$9=TRUE,$AP$9=D44,E44&lt;50),AND($AU$9=TRUE,$AM$9=D44)),AE44,AF44),入力補助!$Z$3:$AA$94,2,FALSE))</f>
        <v>#N/A</v>
      </c>
      <c r="AH44" s="238" t="str">
        <f t="shared" si="16"/>
        <v/>
      </c>
      <c r="AI44" s="237" t="str">
        <f t="shared" si="5"/>
        <v/>
      </c>
      <c r="AJ44" s="239" t="str">
        <f>IFERROR(VLOOKUP(N44,コード表!$B$6:$BJ$3006,MATCH(AD44,コード表!$B$6:$BJ$6,0)),"")</f>
        <v/>
      </c>
    </row>
    <row r="45" spans="1:36" ht="20.399999999999999" customHeight="1">
      <c r="A45" s="329">
        <v>32</v>
      </c>
      <c r="C45" s="420"/>
      <c r="D45" s="418"/>
      <c r="E45" s="442"/>
      <c r="F45" s="420"/>
      <c r="G45" s="294" t="str">
        <f t="shared" si="6"/>
        <v/>
      </c>
      <c r="H45" s="296" t="str">
        <f t="shared" si="7"/>
        <v/>
      </c>
      <c r="I45" s="422"/>
      <c r="J45" s="298" t="str">
        <f t="shared" si="8"/>
        <v/>
      </c>
      <c r="K45" s="420"/>
      <c r="L45" s="300" t="str">
        <f t="shared" si="9"/>
        <v/>
      </c>
      <c r="M45" s="424"/>
      <c r="N45" s="302" t="str">
        <f t="shared" si="10"/>
        <v/>
      </c>
      <c r="O45" s="426"/>
      <c r="P45" s="324" t="str">
        <f>IF(D45="","",IFERROR(VLOOKUP(AD45,入力補助!$U$3:$V$94,2,FALSE),""))</f>
        <v/>
      </c>
      <c r="Q45" s="295" t="str">
        <f t="shared" si="0"/>
        <v/>
      </c>
      <c r="R45" s="428"/>
      <c r="S45" s="304" t="str">
        <f t="shared" si="1"/>
        <v/>
      </c>
      <c r="T45" s="416" t="str">
        <f t="shared" si="2"/>
        <v/>
      </c>
      <c r="U45" s="339" t="str">
        <f t="shared" si="3"/>
        <v/>
      </c>
      <c r="V45" s="268"/>
      <c r="W45" s="268">
        <f t="shared" si="11"/>
        <v>0</v>
      </c>
      <c r="X45" s="268">
        <f t="shared" si="12"/>
        <v>0</v>
      </c>
      <c r="Y45" s="268" t="e">
        <f t="shared" si="13"/>
        <v>#VALUE!</v>
      </c>
      <c r="Z45" s="322" t="e">
        <f>VLOOKUP(D45,入力補助!$C$2:$Q$44,14,FALSE)</f>
        <v>#N/A</v>
      </c>
      <c r="AA45" s="322" t="e">
        <f>VLOOKUP(D45,入力補助!$C$2:$Q$44,15,FALSE)</f>
        <v>#N/A</v>
      </c>
      <c r="AB45" s="325" t="e">
        <f>VLOOKUP(D45,入力補助!$C$2:$R$44,16,FALSE)</f>
        <v>#N/A</v>
      </c>
      <c r="AC45" s="268" t="str">
        <f t="shared" si="14"/>
        <v>0</v>
      </c>
      <c r="AD45" s="268" t="e">
        <f t="shared" si="17"/>
        <v>#N/A</v>
      </c>
      <c r="AE45" s="268" t="e">
        <f t="shared" si="15"/>
        <v>#N/A</v>
      </c>
      <c r="AF45" s="325" t="e">
        <f t="shared" si="4"/>
        <v>#N/A</v>
      </c>
      <c r="AG45" s="237" t="e">
        <f>IF(AE45="","",VLOOKUP(IF(OR(AND($AV$9=TRUE,$AN$9=D45),AND($AW$9=TRUE,$AO$9=D45),AND($AX$9=TRUE,$AP$9=D45,E45&lt;50),AND($AU$9=TRUE,$AM$9=D45)),AE45,AF45),入力補助!$Z$3:$AA$94,2,FALSE))</f>
        <v>#N/A</v>
      </c>
      <c r="AH45" s="238" t="str">
        <f t="shared" si="16"/>
        <v/>
      </c>
      <c r="AI45" s="237" t="str">
        <f t="shared" si="5"/>
        <v/>
      </c>
      <c r="AJ45" s="239" t="str">
        <f>IFERROR(VLOOKUP(N45,コード表!$B$6:$BJ$3006,MATCH(AD45,コード表!$B$6:$BJ$6,0)),"")</f>
        <v/>
      </c>
    </row>
    <row r="46" spans="1:36" ht="20.399999999999999" customHeight="1">
      <c r="A46" s="329">
        <v>33</v>
      </c>
      <c r="C46" s="420"/>
      <c r="D46" s="418"/>
      <c r="E46" s="442"/>
      <c r="F46" s="420"/>
      <c r="G46" s="294" t="str">
        <f t="shared" si="6"/>
        <v/>
      </c>
      <c r="H46" s="296" t="str">
        <f t="shared" si="7"/>
        <v/>
      </c>
      <c r="I46" s="422"/>
      <c r="J46" s="298" t="str">
        <f t="shared" si="8"/>
        <v/>
      </c>
      <c r="K46" s="420"/>
      <c r="L46" s="300" t="str">
        <f t="shared" si="9"/>
        <v/>
      </c>
      <c r="M46" s="424"/>
      <c r="N46" s="302" t="str">
        <f t="shared" si="10"/>
        <v/>
      </c>
      <c r="O46" s="426"/>
      <c r="P46" s="324" t="str">
        <f>IF(D46="","",IFERROR(VLOOKUP(AD46,入力補助!$U$3:$V$94,2,FALSE),""))</f>
        <v/>
      </c>
      <c r="Q46" s="295" t="str">
        <f t="shared" si="0"/>
        <v/>
      </c>
      <c r="R46" s="428"/>
      <c r="S46" s="304" t="str">
        <f t="shared" si="1"/>
        <v/>
      </c>
      <c r="T46" s="416" t="str">
        <f t="shared" si="2"/>
        <v/>
      </c>
      <c r="U46" s="339" t="str">
        <f t="shared" si="3"/>
        <v/>
      </c>
      <c r="V46" s="268"/>
      <c r="W46" s="268">
        <f t="shared" si="11"/>
        <v>0</v>
      </c>
      <c r="X46" s="268">
        <f t="shared" si="12"/>
        <v>0</v>
      </c>
      <c r="Y46" s="268" t="e">
        <f t="shared" si="13"/>
        <v>#VALUE!</v>
      </c>
      <c r="Z46" s="322" t="e">
        <f>VLOOKUP(D46,入力補助!$C$2:$Q$44,14,FALSE)</f>
        <v>#N/A</v>
      </c>
      <c r="AA46" s="322" t="e">
        <f>VLOOKUP(D46,入力補助!$C$2:$Q$44,15,FALSE)</f>
        <v>#N/A</v>
      </c>
      <c r="AB46" s="325" t="e">
        <f>VLOOKUP(D46,入力補助!$C$2:$R$44,16,FALSE)</f>
        <v>#N/A</v>
      </c>
      <c r="AC46" s="268" t="str">
        <f t="shared" si="14"/>
        <v>0</v>
      </c>
      <c r="AD46" s="268" t="e">
        <f t="shared" si="17"/>
        <v>#N/A</v>
      </c>
      <c r="AE46" s="268" t="e">
        <f t="shared" si="15"/>
        <v>#N/A</v>
      </c>
      <c r="AF46" s="325" t="e">
        <f t="shared" si="4"/>
        <v>#N/A</v>
      </c>
      <c r="AG46" s="237" t="e">
        <f>IF(AE46="","",VLOOKUP(IF(OR(AND($AV$9=TRUE,$AN$9=D46),AND($AW$9=TRUE,$AO$9=D46),AND($AX$9=TRUE,$AP$9=D46,E46&lt;50),AND($AU$9=TRUE,$AM$9=D46)),AE46,AF46),入力補助!$Z$3:$AA$94,2,FALSE))</f>
        <v>#N/A</v>
      </c>
      <c r="AH46" s="238" t="str">
        <f t="shared" si="16"/>
        <v/>
      </c>
      <c r="AI46" s="237" t="str">
        <f t="shared" si="5"/>
        <v/>
      </c>
      <c r="AJ46" s="239" t="str">
        <f>IFERROR(VLOOKUP(N46,コード表!$B$6:$BJ$3006,MATCH(AD46,コード表!$B$6:$BJ$6,0)),"")</f>
        <v/>
      </c>
    </row>
    <row r="47" spans="1:36" ht="20.399999999999999" customHeight="1">
      <c r="A47" s="329">
        <v>34</v>
      </c>
      <c r="C47" s="420"/>
      <c r="D47" s="418"/>
      <c r="E47" s="442"/>
      <c r="F47" s="420"/>
      <c r="G47" s="294" t="str">
        <f t="shared" si="6"/>
        <v/>
      </c>
      <c r="H47" s="296" t="str">
        <f t="shared" si="7"/>
        <v/>
      </c>
      <c r="I47" s="422"/>
      <c r="J47" s="298" t="str">
        <f t="shared" si="8"/>
        <v/>
      </c>
      <c r="K47" s="420"/>
      <c r="L47" s="300" t="str">
        <f t="shared" si="9"/>
        <v/>
      </c>
      <c r="M47" s="424"/>
      <c r="N47" s="302" t="str">
        <f t="shared" si="10"/>
        <v/>
      </c>
      <c r="O47" s="426"/>
      <c r="P47" s="324" t="str">
        <f>IF(D47="","",IFERROR(VLOOKUP(AD47,入力補助!$U$3:$V$94,2,FALSE),""))</f>
        <v/>
      </c>
      <c r="Q47" s="295" t="str">
        <f t="shared" si="0"/>
        <v/>
      </c>
      <c r="R47" s="428"/>
      <c r="S47" s="304" t="str">
        <f t="shared" si="1"/>
        <v/>
      </c>
      <c r="T47" s="416" t="str">
        <f t="shared" si="2"/>
        <v/>
      </c>
      <c r="U47" s="339" t="str">
        <f t="shared" si="3"/>
        <v/>
      </c>
      <c r="V47" s="268"/>
      <c r="W47" s="268">
        <f t="shared" si="11"/>
        <v>0</v>
      </c>
      <c r="X47" s="268">
        <f t="shared" si="12"/>
        <v>0</v>
      </c>
      <c r="Y47" s="268" t="e">
        <f t="shared" si="13"/>
        <v>#VALUE!</v>
      </c>
      <c r="Z47" s="322" t="e">
        <f>VLOOKUP(D47,入力補助!$C$2:$Q$44,14,FALSE)</f>
        <v>#N/A</v>
      </c>
      <c r="AA47" s="322" t="e">
        <f>VLOOKUP(D47,入力補助!$C$2:$Q$44,15,FALSE)</f>
        <v>#N/A</v>
      </c>
      <c r="AB47" s="325" t="e">
        <f>VLOOKUP(D47,入力補助!$C$2:$R$44,16,FALSE)</f>
        <v>#N/A</v>
      </c>
      <c r="AC47" s="268" t="str">
        <f t="shared" si="14"/>
        <v>0</v>
      </c>
      <c r="AD47" s="268" t="e">
        <f t="shared" si="17"/>
        <v>#N/A</v>
      </c>
      <c r="AE47" s="268" t="e">
        <f t="shared" si="15"/>
        <v>#N/A</v>
      </c>
      <c r="AF47" s="325" t="e">
        <f t="shared" si="4"/>
        <v>#N/A</v>
      </c>
      <c r="AG47" s="237" t="e">
        <f>IF(AE47="","",VLOOKUP(IF(OR(AND($AV$9=TRUE,$AN$9=D47),AND($AW$9=TRUE,$AO$9=D47),AND($AX$9=TRUE,$AP$9=D47,E47&lt;50),AND($AU$9=TRUE,$AM$9=D47)),AE47,AF47),入力補助!$Z$3:$AA$94,2,FALSE))</f>
        <v>#N/A</v>
      </c>
      <c r="AH47" s="238" t="str">
        <f t="shared" si="16"/>
        <v/>
      </c>
      <c r="AI47" s="237" t="str">
        <f t="shared" si="5"/>
        <v/>
      </c>
      <c r="AJ47" s="239" t="str">
        <f>IFERROR(VLOOKUP(N47,コード表!$B$6:$BJ$3006,MATCH(AD47,コード表!$B$6:$BJ$6,0)),"")</f>
        <v/>
      </c>
    </row>
    <row r="48" spans="1:36" ht="20.399999999999999" customHeight="1">
      <c r="A48" s="329">
        <v>35</v>
      </c>
      <c r="C48" s="420"/>
      <c r="D48" s="418"/>
      <c r="E48" s="442"/>
      <c r="F48" s="420"/>
      <c r="G48" s="294" t="str">
        <f t="shared" si="6"/>
        <v/>
      </c>
      <c r="H48" s="296" t="str">
        <f t="shared" si="7"/>
        <v/>
      </c>
      <c r="I48" s="422"/>
      <c r="J48" s="298" t="str">
        <f t="shared" si="8"/>
        <v/>
      </c>
      <c r="K48" s="420"/>
      <c r="L48" s="300" t="str">
        <f t="shared" si="9"/>
        <v/>
      </c>
      <c r="M48" s="424"/>
      <c r="N48" s="302" t="str">
        <f t="shared" si="10"/>
        <v/>
      </c>
      <c r="O48" s="426"/>
      <c r="P48" s="324" t="str">
        <f>IF(D48="","",IFERROR(VLOOKUP(AD48,入力補助!$U$3:$V$94,2,FALSE),""))</f>
        <v/>
      </c>
      <c r="Q48" s="295" t="str">
        <f t="shared" si="0"/>
        <v/>
      </c>
      <c r="R48" s="428"/>
      <c r="S48" s="304" t="str">
        <f t="shared" si="1"/>
        <v/>
      </c>
      <c r="T48" s="416" t="str">
        <f t="shared" si="2"/>
        <v/>
      </c>
      <c r="U48" s="339" t="str">
        <f t="shared" si="3"/>
        <v/>
      </c>
      <c r="V48" s="268"/>
      <c r="W48" s="268">
        <f t="shared" si="11"/>
        <v>0</v>
      </c>
      <c r="X48" s="268">
        <f t="shared" si="12"/>
        <v>0</v>
      </c>
      <c r="Y48" s="268" t="e">
        <f t="shared" si="13"/>
        <v>#VALUE!</v>
      </c>
      <c r="Z48" s="322" t="e">
        <f>VLOOKUP(D48,入力補助!$C$2:$Q$44,14,FALSE)</f>
        <v>#N/A</v>
      </c>
      <c r="AA48" s="322" t="e">
        <f>VLOOKUP(D48,入力補助!$C$2:$Q$44,15,FALSE)</f>
        <v>#N/A</v>
      </c>
      <c r="AB48" s="325" t="e">
        <f>VLOOKUP(D48,入力補助!$C$2:$R$44,16,FALSE)</f>
        <v>#N/A</v>
      </c>
      <c r="AC48" s="268" t="str">
        <f t="shared" si="14"/>
        <v>0</v>
      </c>
      <c r="AD48" s="268" t="e">
        <f t="shared" si="17"/>
        <v>#N/A</v>
      </c>
      <c r="AE48" s="268" t="e">
        <f t="shared" si="15"/>
        <v>#N/A</v>
      </c>
      <c r="AF48" s="325" t="e">
        <f t="shared" si="4"/>
        <v>#N/A</v>
      </c>
      <c r="AG48" s="237" t="e">
        <f>IF(AE48="","",VLOOKUP(IF(OR(AND($AV$9=TRUE,$AN$9=D48),AND($AW$9=TRUE,$AO$9=D48),AND($AX$9=TRUE,$AP$9=D48,E48&lt;50),AND($AU$9=TRUE,$AM$9=D48)),AE48,AF48),入力補助!$Z$3:$AA$94,2,FALSE))</f>
        <v>#N/A</v>
      </c>
      <c r="AH48" s="238" t="str">
        <f t="shared" si="16"/>
        <v/>
      </c>
      <c r="AI48" s="237" t="str">
        <f t="shared" si="5"/>
        <v/>
      </c>
      <c r="AJ48" s="239" t="str">
        <f>IFERROR(VLOOKUP(N48,コード表!$B$6:$BJ$3006,MATCH(AD48,コード表!$B$6:$BJ$6,0)),"")</f>
        <v/>
      </c>
    </row>
    <row r="49" spans="1:36" ht="20.399999999999999" customHeight="1">
      <c r="A49" s="329">
        <v>36</v>
      </c>
      <c r="C49" s="420"/>
      <c r="D49" s="418"/>
      <c r="E49" s="442"/>
      <c r="F49" s="420"/>
      <c r="G49" s="294" t="str">
        <f t="shared" si="6"/>
        <v/>
      </c>
      <c r="H49" s="296" t="str">
        <f t="shared" si="7"/>
        <v/>
      </c>
      <c r="I49" s="422"/>
      <c r="J49" s="298" t="str">
        <f t="shared" si="8"/>
        <v/>
      </c>
      <c r="K49" s="420"/>
      <c r="L49" s="300" t="str">
        <f t="shared" si="9"/>
        <v/>
      </c>
      <c r="M49" s="424"/>
      <c r="N49" s="302" t="str">
        <f t="shared" si="10"/>
        <v/>
      </c>
      <c r="O49" s="426"/>
      <c r="P49" s="324" t="str">
        <f>IF(D49="","",IFERROR(VLOOKUP(AD49,入力補助!$U$3:$V$94,2,FALSE),""))</f>
        <v/>
      </c>
      <c r="Q49" s="295" t="str">
        <f t="shared" si="0"/>
        <v/>
      </c>
      <c r="R49" s="428"/>
      <c r="S49" s="304" t="str">
        <f t="shared" si="1"/>
        <v/>
      </c>
      <c r="T49" s="416" t="str">
        <f t="shared" si="2"/>
        <v/>
      </c>
      <c r="U49" s="339" t="str">
        <f t="shared" si="3"/>
        <v/>
      </c>
      <c r="V49" s="268"/>
      <c r="W49" s="268">
        <f t="shared" si="11"/>
        <v>0</v>
      </c>
      <c r="X49" s="268">
        <f t="shared" si="12"/>
        <v>0</v>
      </c>
      <c r="Y49" s="268" t="e">
        <f t="shared" si="13"/>
        <v>#VALUE!</v>
      </c>
      <c r="Z49" s="322" t="e">
        <f>VLOOKUP(D49,入力補助!$C$2:$Q$44,14,FALSE)</f>
        <v>#N/A</v>
      </c>
      <c r="AA49" s="322" t="e">
        <f>VLOOKUP(D49,入力補助!$C$2:$Q$44,15,FALSE)</f>
        <v>#N/A</v>
      </c>
      <c r="AB49" s="325" t="e">
        <f>VLOOKUP(D49,入力補助!$C$2:$R$44,16,FALSE)</f>
        <v>#N/A</v>
      </c>
      <c r="AC49" s="268" t="str">
        <f t="shared" si="14"/>
        <v>0</v>
      </c>
      <c r="AD49" s="268" t="e">
        <f t="shared" si="17"/>
        <v>#N/A</v>
      </c>
      <c r="AE49" s="268" t="e">
        <f t="shared" si="15"/>
        <v>#N/A</v>
      </c>
      <c r="AF49" s="325" t="e">
        <f t="shared" si="4"/>
        <v>#N/A</v>
      </c>
      <c r="AG49" s="237" t="e">
        <f>IF(AE49="","",VLOOKUP(IF(OR(AND($AV$9=TRUE,$AN$9=D49),AND($AW$9=TRUE,$AO$9=D49),AND($AX$9=TRUE,$AP$9=D49,E49&lt;50),AND($AU$9=TRUE,$AM$9=D49)),AE49,AF49),入力補助!$Z$3:$AA$94,2,FALSE))</f>
        <v>#N/A</v>
      </c>
      <c r="AH49" s="238" t="str">
        <f t="shared" si="16"/>
        <v/>
      </c>
      <c r="AI49" s="237" t="str">
        <f t="shared" si="5"/>
        <v/>
      </c>
      <c r="AJ49" s="239" t="str">
        <f>IFERROR(VLOOKUP(N49,コード表!$B$6:$BJ$3006,MATCH(AD49,コード表!$B$6:$BJ$6,0)),"")</f>
        <v/>
      </c>
    </row>
    <row r="50" spans="1:36" ht="20.399999999999999" customHeight="1">
      <c r="A50" s="329">
        <v>37</v>
      </c>
      <c r="C50" s="420"/>
      <c r="D50" s="418"/>
      <c r="E50" s="442"/>
      <c r="F50" s="420"/>
      <c r="G50" s="294" t="str">
        <f t="shared" si="6"/>
        <v/>
      </c>
      <c r="H50" s="296" t="str">
        <f t="shared" si="7"/>
        <v/>
      </c>
      <c r="I50" s="422"/>
      <c r="J50" s="298" t="str">
        <f t="shared" si="8"/>
        <v/>
      </c>
      <c r="K50" s="420"/>
      <c r="L50" s="300" t="str">
        <f t="shared" si="9"/>
        <v/>
      </c>
      <c r="M50" s="424"/>
      <c r="N50" s="302" t="str">
        <f t="shared" si="10"/>
        <v/>
      </c>
      <c r="O50" s="426"/>
      <c r="P50" s="324" t="str">
        <f>IF(D50="","",IFERROR(VLOOKUP(AD50,入力補助!$U$3:$V$94,2,FALSE),""))</f>
        <v/>
      </c>
      <c r="Q50" s="295" t="str">
        <f t="shared" si="0"/>
        <v/>
      </c>
      <c r="R50" s="428"/>
      <c r="S50" s="304" t="str">
        <f t="shared" si="1"/>
        <v/>
      </c>
      <c r="T50" s="416" t="str">
        <f t="shared" si="2"/>
        <v/>
      </c>
      <c r="U50" s="339" t="str">
        <f t="shared" si="3"/>
        <v/>
      </c>
      <c r="V50" s="268"/>
      <c r="W50" s="268">
        <f t="shared" si="11"/>
        <v>0</v>
      </c>
      <c r="X50" s="268">
        <f t="shared" si="12"/>
        <v>0</v>
      </c>
      <c r="Y50" s="268" t="e">
        <f t="shared" si="13"/>
        <v>#VALUE!</v>
      </c>
      <c r="Z50" s="322" t="e">
        <f>VLOOKUP(D50,入力補助!$C$2:$Q$44,14,FALSE)</f>
        <v>#N/A</v>
      </c>
      <c r="AA50" s="322" t="e">
        <f>VLOOKUP(D50,入力補助!$C$2:$Q$44,15,FALSE)</f>
        <v>#N/A</v>
      </c>
      <c r="AB50" s="325" t="e">
        <f>VLOOKUP(D50,入力補助!$C$2:$R$44,16,FALSE)</f>
        <v>#N/A</v>
      </c>
      <c r="AC50" s="268" t="str">
        <f t="shared" si="14"/>
        <v>0</v>
      </c>
      <c r="AD50" s="268" t="e">
        <f t="shared" si="17"/>
        <v>#N/A</v>
      </c>
      <c r="AE50" s="268" t="e">
        <f t="shared" si="15"/>
        <v>#N/A</v>
      </c>
      <c r="AF50" s="325" t="e">
        <f t="shared" si="4"/>
        <v>#N/A</v>
      </c>
      <c r="AG50" s="237" t="e">
        <f>IF(AE50="","",VLOOKUP(IF(OR(AND($AV$9=TRUE,$AN$9=D50),AND($AW$9=TRUE,$AO$9=D50),AND($AX$9=TRUE,$AP$9=D50,E50&lt;50),AND($AU$9=TRUE,$AM$9=D50)),AE50,AF50),入力補助!$Z$3:$AA$94,2,FALSE))</f>
        <v>#N/A</v>
      </c>
      <c r="AH50" s="238" t="str">
        <f t="shared" si="16"/>
        <v/>
      </c>
      <c r="AI50" s="237" t="str">
        <f t="shared" si="5"/>
        <v/>
      </c>
      <c r="AJ50" s="239" t="str">
        <f>IFERROR(VLOOKUP(N50,コード表!$B$6:$BJ$3006,MATCH(AD50,コード表!$B$6:$BJ$6,0)),"")</f>
        <v/>
      </c>
    </row>
    <row r="51" spans="1:36" ht="20.399999999999999" customHeight="1">
      <c r="A51" s="329">
        <v>38</v>
      </c>
      <c r="C51" s="420"/>
      <c r="D51" s="418"/>
      <c r="E51" s="442"/>
      <c r="F51" s="420"/>
      <c r="G51" s="294" t="str">
        <f t="shared" si="6"/>
        <v/>
      </c>
      <c r="H51" s="296" t="str">
        <f t="shared" si="7"/>
        <v/>
      </c>
      <c r="I51" s="422"/>
      <c r="J51" s="298" t="str">
        <f t="shared" si="8"/>
        <v/>
      </c>
      <c r="K51" s="420"/>
      <c r="L51" s="300" t="str">
        <f t="shared" si="9"/>
        <v/>
      </c>
      <c r="M51" s="424"/>
      <c r="N51" s="302" t="str">
        <f t="shared" si="10"/>
        <v/>
      </c>
      <c r="O51" s="426"/>
      <c r="P51" s="324" t="str">
        <f>IF(D51="","",IFERROR(VLOOKUP(AD51,入力補助!$U$3:$V$94,2,FALSE),""))</f>
        <v/>
      </c>
      <c r="Q51" s="295" t="str">
        <f t="shared" si="0"/>
        <v/>
      </c>
      <c r="R51" s="428"/>
      <c r="S51" s="304" t="str">
        <f t="shared" si="1"/>
        <v/>
      </c>
      <c r="T51" s="416" t="str">
        <f t="shared" si="2"/>
        <v/>
      </c>
      <c r="U51" s="339" t="str">
        <f t="shared" si="3"/>
        <v/>
      </c>
      <c r="V51" s="268"/>
      <c r="W51" s="268">
        <f t="shared" si="11"/>
        <v>0</v>
      </c>
      <c r="X51" s="268">
        <f t="shared" si="12"/>
        <v>0</v>
      </c>
      <c r="Y51" s="268" t="e">
        <f t="shared" si="13"/>
        <v>#VALUE!</v>
      </c>
      <c r="Z51" s="322" t="e">
        <f>VLOOKUP(D51,入力補助!$C$2:$Q$44,14,FALSE)</f>
        <v>#N/A</v>
      </c>
      <c r="AA51" s="322" t="e">
        <f>VLOOKUP(D51,入力補助!$C$2:$Q$44,15,FALSE)</f>
        <v>#N/A</v>
      </c>
      <c r="AB51" s="325" t="e">
        <f>VLOOKUP(D51,入力補助!$C$2:$R$44,16,FALSE)</f>
        <v>#N/A</v>
      </c>
      <c r="AC51" s="268" t="str">
        <f t="shared" si="14"/>
        <v>0</v>
      </c>
      <c r="AD51" s="268" t="e">
        <f t="shared" si="17"/>
        <v>#N/A</v>
      </c>
      <c r="AE51" s="268" t="e">
        <f t="shared" si="15"/>
        <v>#N/A</v>
      </c>
      <c r="AF51" s="325" t="e">
        <f t="shared" si="4"/>
        <v>#N/A</v>
      </c>
      <c r="AG51" s="237" t="e">
        <f>IF(AE51="","",VLOOKUP(IF(OR(AND($AV$9=TRUE,$AN$9=D51),AND($AW$9=TRUE,$AO$9=D51),AND($AX$9=TRUE,$AP$9=D51,E51&lt;50),AND($AU$9=TRUE,$AM$9=D51)),AE51,AF51),入力補助!$Z$3:$AA$94,2,FALSE))</f>
        <v>#N/A</v>
      </c>
      <c r="AH51" s="238" t="str">
        <f t="shared" si="16"/>
        <v/>
      </c>
      <c r="AI51" s="237" t="str">
        <f t="shared" si="5"/>
        <v/>
      </c>
      <c r="AJ51" s="239" t="str">
        <f>IFERROR(VLOOKUP(N51,コード表!$B$6:$BJ$3006,MATCH(AD51,コード表!$B$6:$BJ$6,0)),"")</f>
        <v/>
      </c>
    </row>
    <row r="52" spans="1:36" ht="20.399999999999999" customHeight="1">
      <c r="A52" s="329">
        <v>39</v>
      </c>
      <c r="C52" s="420"/>
      <c r="D52" s="418"/>
      <c r="E52" s="442"/>
      <c r="F52" s="420"/>
      <c r="G52" s="294" t="str">
        <f t="shared" si="6"/>
        <v/>
      </c>
      <c r="H52" s="296" t="str">
        <f t="shared" si="7"/>
        <v/>
      </c>
      <c r="I52" s="422"/>
      <c r="J52" s="298" t="str">
        <f t="shared" si="8"/>
        <v/>
      </c>
      <c r="K52" s="420"/>
      <c r="L52" s="300" t="str">
        <f t="shared" si="9"/>
        <v/>
      </c>
      <c r="M52" s="424"/>
      <c r="N52" s="302" t="str">
        <f t="shared" si="10"/>
        <v/>
      </c>
      <c r="O52" s="426"/>
      <c r="P52" s="324" t="str">
        <f>IF(D52="","",IFERROR(VLOOKUP(AD52,入力補助!$U$3:$V$94,2,FALSE),""))</f>
        <v/>
      </c>
      <c r="Q52" s="295" t="str">
        <f t="shared" si="0"/>
        <v/>
      </c>
      <c r="R52" s="428"/>
      <c r="S52" s="304" t="str">
        <f t="shared" si="1"/>
        <v/>
      </c>
      <c r="T52" s="416" t="str">
        <f t="shared" si="2"/>
        <v/>
      </c>
      <c r="U52" s="339" t="str">
        <f t="shared" si="3"/>
        <v/>
      </c>
      <c r="V52" s="268"/>
      <c r="W52" s="268">
        <f t="shared" si="11"/>
        <v>0</v>
      </c>
      <c r="X52" s="268">
        <f t="shared" si="12"/>
        <v>0</v>
      </c>
      <c r="Y52" s="268" t="e">
        <f t="shared" si="13"/>
        <v>#VALUE!</v>
      </c>
      <c r="Z52" s="322" t="e">
        <f>VLOOKUP(D52,入力補助!$C$2:$Q$44,14,FALSE)</f>
        <v>#N/A</v>
      </c>
      <c r="AA52" s="322" t="e">
        <f>VLOOKUP(D52,入力補助!$C$2:$Q$44,15,FALSE)</f>
        <v>#N/A</v>
      </c>
      <c r="AB52" s="325" t="e">
        <f>VLOOKUP(D52,入力補助!$C$2:$R$44,16,FALSE)</f>
        <v>#N/A</v>
      </c>
      <c r="AC52" s="268" t="str">
        <f t="shared" si="14"/>
        <v>0</v>
      </c>
      <c r="AD52" s="268" t="e">
        <f t="shared" si="17"/>
        <v>#N/A</v>
      </c>
      <c r="AE52" s="268" t="e">
        <f t="shared" si="15"/>
        <v>#N/A</v>
      </c>
      <c r="AF52" s="325" t="e">
        <f t="shared" si="4"/>
        <v>#N/A</v>
      </c>
      <c r="AG52" s="237" t="e">
        <f>IF(AE52="","",VLOOKUP(IF(OR(AND($AV$9=TRUE,$AN$9=D52),AND($AW$9=TRUE,$AO$9=D52),AND($AX$9=TRUE,$AP$9=D52,E52&lt;50),AND($AU$9=TRUE,$AM$9=D52)),AE52,AF52),入力補助!$Z$3:$AA$94,2,FALSE))</f>
        <v>#N/A</v>
      </c>
      <c r="AH52" s="238" t="str">
        <f t="shared" si="16"/>
        <v/>
      </c>
      <c r="AI52" s="237" t="str">
        <f t="shared" si="5"/>
        <v/>
      </c>
      <c r="AJ52" s="239" t="str">
        <f>IFERROR(VLOOKUP(N52,コード表!$B$6:$BJ$3006,MATCH(AD52,コード表!$B$6:$BJ$6,0)),"")</f>
        <v/>
      </c>
    </row>
    <row r="53" spans="1:36" ht="20.399999999999999" customHeight="1">
      <c r="A53" s="329">
        <v>40</v>
      </c>
      <c r="C53" s="420"/>
      <c r="D53" s="418"/>
      <c r="E53" s="442"/>
      <c r="F53" s="420"/>
      <c r="G53" s="294" t="str">
        <f t="shared" ref="G53" si="18">IF(D53="","",IF(F53="",G52,W53*6+IF(X53=0,0,IF(X53=1,1,IF(X53&lt;5,2,IF(X53&lt;11,3,IF(X53&lt;16,4,IF(X53&lt;21,5,IF(X53&lt;30,6,0)))))))))</f>
        <v/>
      </c>
      <c r="H53" s="296" t="str">
        <f t="shared" si="7"/>
        <v/>
      </c>
      <c r="I53" s="422"/>
      <c r="J53" s="298" t="str">
        <f t="shared" ref="J53" si="19">IF(D53="","",IF(I53="",J52,IF(I53&lt;10,ROUND(42*(I53^0.33)/60,1),IF(I53&lt;600,ROUND(19*(I53^0.67)/60,1),ROUND(2.8*(I53^0.97)/60,1)))))</f>
        <v/>
      </c>
      <c r="K53" s="420"/>
      <c r="L53" s="300" t="str">
        <f t="shared" si="9"/>
        <v/>
      </c>
      <c r="M53" s="424"/>
      <c r="N53" s="302" t="str">
        <f t="shared" ref="N53" si="20">IF(_xlfn.AGGREGATE(9,3,Y53,J53,L53,M53)=0,"",_xlfn.AGGREGATE(9,3,Y53,J53,L53,M53))</f>
        <v/>
      </c>
      <c r="O53" s="426"/>
      <c r="P53" s="324" t="str">
        <f>IF(D53="","",IFERROR(VLOOKUP(AD53,入力補助!$U$3:$V$94,2,FALSE),""))</f>
        <v/>
      </c>
      <c r="Q53" s="295" t="str">
        <f t="shared" si="0"/>
        <v/>
      </c>
      <c r="R53" s="428"/>
      <c r="S53" s="304" t="str">
        <f>IF(D53="","",IF(ISNUMBER(R53)=TRUE,R53,IF(ISNUMBER(AJ53)=TRUE,ROUND(AJ53,2),IF(ISNUMBER(P53)=TRUE,ROUND(P53*Q53/1000,2),ROUND(O53*Q53/1000,2)))))</f>
        <v/>
      </c>
      <c r="T53" s="416" t="str">
        <f t="shared" ref="T53:T54" si="21">IF(D53="SUS","S",IF(D53="VSP","V",IF(D53="COP","C","")))</f>
        <v/>
      </c>
      <c r="U53" s="339" t="str">
        <f t="shared" si="3"/>
        <v/>
      </c>
      <c r="V53" s="268"/>
      <c r="W53" s="268">
        <f t="shared" ref="W53" si="22">ROUNDDOWN(F53/30,0)</f>
        <v>0</v>
      </c>
      <c r="X53" s="268">
        <f t="shared" ref="X53" si="23">F53-W53*30</f>
        <v>0</v>
      </c>
      <c r="Y53" s="268" t="e">
        <f t="shared" ref="Y53" si="24">G53*H53</f>
        <v>#VALUE!</v>
      </c>
      <c r="Z53" s="322" t="e">
        <f>VLOOKUP(D53,入力補助!$C$2:$Q$44,14,FALSE)</f>
        <v>#N/A</v>
      </c>
      <c r="AA53" s="322" t="e">
        <f>VLOOKUP(D53,入力補助!$C$2:$Q$44,15,FALSE)</f>
        <v>#N/A</v>
      </c>
      <c r="AB53" s="325" t="e">
        <f>VLOOKUP(D53,入力補助!$C$2:$R$44,16,FALSE)</f>
        <v>#N/A</v>
      </c>
      <c r="AC53" s="268" t="str">
        <f t="shared" ref="AC53" si="25">IF(LEN(E53)=3,E53,0&amp;E53)</f>
        <v>0</v>
      </c>
      <c r="AD53" s="268" t="e">
        <f t="shared" ref="AD53" si="26">Z53&amp;AC53</f>
        <v>#N/A</v>
      </c>
      <c r="AE53" s="268" t="e">
        <f t="shared" ref="AE53" si="27">AA53&amp;AC53</f>
        <v>#N/A</v>
      </c>
      <c r="AF53" s="325" t="e">
        <f t="shared" si="4"/>
        <v>#N/A</v>
      </c>
      <c r="AG53" s="237" t="e">
        <f>IF(AE53="","",VLOOKUP(IF(OR(AND($AV$9=TRUE,$AN$9=D53),AND($AW$9=TRUE,$AO$9=D53),AND($AX$9=TRUE,$AP$9=D53,E53&lt;50),AND($AU$9=TRUE,$AM$9=D53)),AE53,AF53),入力補助!$Z$3:$AA$94,2,FALSE))</f>
        <v>#N/A</v>
      </c>
      <c r="AH53" s="238" t="str">
        <f t="shared" ref="AH53:AH54" si="28">IF(N53="","",((N53/1000)/((AG53/1000)^2*3.14/4)))</f>
        <v/>
      </c>
      <c r="AI53" s="237" t="str">
        <f t="shared" si="5"/>
        <v/>
      </c>
      <c r="AJ53" s="239" t="str">
        <f>IFERROR(VLOOKUP(N53,コード表!$B$6:$BJ$3006,MATCH(AD53,コード表!$B$6:$BJ$6,0)),"")</f>
        <v/>
      </c>
    </row>
    <row r="54" spans="1:36" ht="20.399999999999999" customHeight="1">
      <c r="C54" s="511" t="s">
        <v>355</v>
      </c>
      <c r="D54" s="512"/>
      <c r="E54" s="513"/>
      <c r="F54" s="357"/>
      <c r="G54" s="358"/>
      <c r="H54" s="358"/>
      <c r="I54" s="358"/>
      <c r="J54" s="359"/>
      <c r="K54" s="358"/>
      <c r="L54" s="359"/>
      <c r="M54" s="359"/>
      <c r="N54" s="359"/>
      <c r="O54" s="360"/>
      <c r="P54" s="360"/>
      <c r="Q54" s="361"/>
      <c r="R54" s="362"/>
      <c r="S54" s="429"/>
      <c r="T54" s="416" t="str">
        <f t="shared" si="21"/>
        <v/>
      </c>
      <c r="U54" s="339" t="str">
        <f t="shared" ref="U54" si="29">IFERROR(IF(AND(AH54&gt;=2,OR(D54="Pe",D54="PeH",D54="HPPE",D54="SUS",D54="PBP",D54="VSP",D54="XPe",D54="VP",D54="COP",D54="HIVP",D54="鋳鉄管")),"Over",""),"")</f>
        <v/>
      </c>
      <c r="V54" s="268"/>
      <c r="W54" s="268"/>
      <c r="X54" s="268"/>
      <c r="Y54" s="268"/>
      <c r="Z54" s="322"/>
      <c r="AA54" s="322"/>
      <c r="AC54" s="268"/>
      <c r="AD54" s="268"/>
      <c r="AE54" s="268"/>
      <c r="AG54" s="237"/>
      <c r="AH54" s="238" t="str">
        <f t="shared" si="28"/>
        <v/>
      </c>
      <c r="AI54" s="237" t="str">
        <f t="shared" si="5"/>
        <v/>
      </c>
      <c r="AJ54" s="239" t="str">
        <f>IFERROR(VLOOKUP(N54,コード表!$B$6:$BJ$3006,MATCH(AD54,コード表!$B$6:$BJ$6,0)),"")</f>
        <v/>
      </c>
    </row>
    <row r="55" spans="1:36" ht="20.399999999999999" customHeight="1">
      <c r="C55" s="514" t="s">
        <v>227</v>
      </c>
      <c r="D55" s="515"/>
      <c r="E55" s="516"/>
      <c r="F55" s="527" t="s">
        <v>228</v>
      </c>
      <c r="G55" s="528"/>
      <c r="H55" s="311">
        <f>SUMIF($T$14:$T$53,"S",$S$14:$S$53)+SUMIF(T14:T53,"C",S14:S53)</f>
        <v>0</v>
      </c>
      <c r="I55" s="312" t="s">
        <v>332</v>
      </c>
      <c r="J55" s="313">
        <f>H55</f>
        <v>0</v>
      </c>
      <c r="K55" s="317"/>
      <c r="L55" s="318"/>
      <c r="M55" s="318"/>
      <c r="N55" s="318"/>
      <c r="O55" s="318"/>
      <c r="P55" s="318"/>
      <c r="Q55" s="318"/>
      <c r="R55" s="321"/>
      <c r="S55" s="304">
        <f>J55</f>
        <v>0</v>
      </c>
    </row>
    <row r="56" spans="1:36" ht="20.399999999999999" customHeight="1">
      <c r="C56" s="514" t="s">
        <v>335</v>
      </c>
      <c r="D56" s="515"/>
      <c r="E56" s="516"/>
      <c r="F56" s="527" t="s">
        <v>70</v>
      </c>
      <c r="G56" s="528"/>
      <c r="H56" s="314">
        <f>SUMIF($T$14:$T$52,"V",$S$14:$S$52)</f>
        <v>0</v>
      </c>
      <c r="I56" s="315" t="s">
        <v>333</v>
      </c>
      <c r="J56" s="316">
        <f>ROUND(H56*0.2,2)</f>
        <v>0</v>
      </c>
      <c r="K56" s="287"/>
      <c r="L56" s="272"/>
      <c r="M56" s="272"/>
      <c r="N56" s="272"/>
      <c r="O56" s="272"/>
      <c r="P56" s="272"/>
      <c r="Q56" s="272"/>
      <c r="R56" s="319"/>
      <c r="S56" s="304">
        <f>J56</f>
        <v>0</v>
      </c>
    </row>
    <row r="57" spans="1:36" ht="20.399999999999999" customHeight="1">
      <c r="C57" s="514" t="s">
        <v>227</v>
      </c>
      <c r="D57" s="515"/>
      <c r="E57" s="516"/>
      <c r="F57" s="529" t="s">
        <v>70</v>
      </c>
      <c r="G57" s="530"/>
      <c r="H57" s="445" t="str">
        <f>"（"&amp;H56</f>
        <v>（0</v>
      </c>
      <c r="I57" s="315" t="str">
        <f>"+"&amp;J56&amp;"）"</f>
        <v>+0）</v>
      </c>
      <c r="J57" s="315" t="s">
        <v>334</v>
      </c>
      <c r="K57" s="316">
        <f>(H56+J56)*2</f>
        <v>0</v>
      </c>
      <c r="L57" s="272"/>
      <c r="M57" s="272"/>
      <c r="N57" s="272"/>
      <c r="O57" s="272"/>
      <c r="P57" s="272"/>
      <c r="Q57" s="272"/>
      <c r="R57" s="319"/>
      <c r="S57" s="304">
        <f>K57</f>
        <v>0</v>
      </c>
    </row>
    <row r="58" spans="1:36" ht="20.399999999999999" customHeight="1">
      <c r="C58" s="514" t="s">
        <v>226</v>
      </c>
      <c r="D58" s="515"/>
      <c r="E58" s="516"/>
      <c r="F58" s="531"/>
      <c r="G58" s="532"/>
      <c r="H58" s="532"/>
      <c r="I58" s="532"/>
      <c r="J58" s="532"/>
      <c r="K58" s="532"/>
      <c r="L58" s="532"/>
      <c r="M58" s="532"/>
      <c r="N58" s="532"/>
      <c r="O58" s="532"/>
      <c r="P58" s="532"/>
      <c r="Q58" s="532"/>
      <c r="R58" s="533"/>
      <c r="S58" s="430"/>
    </row>
    <row r="59" spans="1:36" s="341" customFormat="1" ht="20.399999999999999" customHeight="1">
      <c r="C59" s="514" t="s">
        <v>356</v>
      </c>
      <c r="D59" s="515"/>
      <c r="E59" s="516"/>
      <c r="F59" s="271"/>
      <c r="G59" s="272"/>
      <c r="H59" s="272"/>
      <c r="I59" s="272"/>
      <c r="J59" s="272"/>
      <c r="K59" s="272"/>
      <c r="L59" s="272"/>
      <c r="M59" s="272"/>
      <c r="N59" s="517" t="s">
        <v>357</v>
      </c>
      <c r="O59" s="500"/>
      <c r="P59" s="500"/>
      <c r="Q59" s="500"/>
      <c r="R59" s="501"/>
      <c r="S59" s="363">
        <f>SUM(S14:S53,S55:S58)</f>
        <v>0</v>
      </c>
      <c r="T59" s="416"/>
    </row>
    <row r="60" spans="1:36" ht="20.399999999999999" customHeight="1" thickBot="1">
      <c r="C60" s="494" t="s">
        <v>225</v>
      </c>
      <c r="D60" s="495"/>
      <c r="E60" s="496"/>
      <c r="F60" s="5"/>
      <c r="G60" s="6"/>
      <c r="H60" s="6"/>
      <c r="I60" s="6"/>
      <c r="J60" s="6"/>
      <c r="K60" s="6"/>
      <c r="L60" s="6"/>
      <c r="M60" s="6"/>
      <c r="N60" s="500" t="s">
        <v>358</v>
      </c>
      <c r="O60" s="500"/>
      <c r="P60" s="500"/>
      <c r="Q60" s="500"/>
      <c r="R60" s="501"/>
      <c r="S60" s="320">
        <f>SUM(S14:S58)</f>
        <v>0</v>
      </c>
    </row>
    <row r="61" spans="1:36" ht="30.9" customHeight="1" thickBot="1">
      <c r="C61" s="504" t="s">
        <v>222</v>
      </c>
      <c r="D61" s="505"/>
      <c r="E61" s="506"/>
      <c r="F61" s="288"/>
      <c r="G61" s="288"/>
      <c r="H61" s="291"/>
      <c r="I61" s="291"/>
      <c r="J61" s="289" t="s">
        <v>223</v>
      </c>
      <c r="K61" s="431"/>
      <c r="L61" s="290" t="s">
        <v>224</v>
      </c>
      <c r="M61" s="288"/>
      <c r="N61" s="288"/>
      <c r="O61" s="288"/>
      <c r="P61" s="288"/>
      <c r="Q61" s="288"/>
      <c r="R61" s="288"/>
      <c r="S61" s="327">
        <f>K61-S60</f>
        <v>0</v>
      </c>
      <c r="T61" s="416" t="s">
        <v>405</v>
      </c>
    </row>
    <row r="63" spans="1:36" ht="22.2">
      <c r="C63" s="503" t="s">
        <v>220</v>
      </c>
      <c r="D63" s="497" t="s">
        <v>352</v>
      </c>
      <c r="E63" s="498"/>
      <c r="F63" s="498"/>
      <c r="G63" s="498"/>
      <c r="H63" s="364" t="s">
        <v>359</v>
      </c>
      <c r="I63" s="368">
        <f>K61</f>
        <v>0</v>
      </c>
      <c r="J63" s="368" t="s">
        <v>76</v>
      </c>
      <c r="K63" s="369">
        <f>S59</f>
        <v>0</v>
      </c>
      <c r="L63" s="364" t="s">
        <v>360</v>
      </c>
      <c r="M63" s="369">
        <f>I63-K63</f>
        <v>0</v>
      </c>
      <c r="N63" s="373" t="s">
        <v>361</v>
      </c>
      <c r="O63" s="369">
        <f>ROUND(M63/100,2)</f>
        <v>0</v>
      </c>
      <c r="P63" s="370" t="s">
        <v>363</v>
      </c>
      <c r="Q63" s="365"/>
      <c r="R63" s="507" t="s">
        <v>378</v>
      </c>
      <c r="S63" s="286" t="s">
        <v>221</v>
      </c>
    </row>
    <row r="64" spans="1:36" ht="21.9" customHeight="1">
      <c r="C64" s="503"/>
      <c r="D64" s="499" t="s">
        <v>353</v>
      </c>
      <c r="E64" s="500"/>
      <c r="F64" s="500"/>
      <c r="G64" s="500"/>
      <c r="H64" s="366" t="s">
        <v>359</v>
      </c>
      <c r="I64" s="377">
        <f>O63</f>
        <v>0</v>
      </c>
      <c r="J64" s="371" t="s">
        <v>76</v>
      </c>
      <c r="K64" s="432">
        <v>0.05</v>
      </c>
      <c r="L64" s="366" t="s">
        <v>360</v>
      </c>
      <c r="M64" s="371">
        <f>I64-K64</f>
        <v>-0.05</v>
      </c>
      <c r="N64" s="372" t="s">
        <v>362</v>
      </c>
      <c r="O64" s="367"/>
      <c r="P64" s="367"/>
      <c r="Q64" s="367"/>
      <c r="R64" s="508"/>
      <c r="S64" s="491"/>
    </row>
    <row r="65" spans="3:19" ht="22.5" customHeight="1">
      <c r="C65" s="503"/>
      <c r="D65" s="499" t="s">
        <v>354</v>
      </c>
      <c r="E65" s="500"/>
      <c r="F65" s="500"/>
      <c r="G65" s="500"/>
      <c r="H65" s="366" t="s">
        <v>359</v>
      </c>
      <c r="I65" s="502" t="s">
        <v>364</v>
      </c>
      <c r="J65" s="502"/>
      <c r="K65" s="502"/>
      <c r="L65" s="366" t="s">
        <v>360</v>
      </c>
      <c r="M65" s="377">
        <f>O63</f>
        <v>0</v>
      </c>
      <c r="N65" s="372" t="s">
        <v>362</v>
      </c>
      <c r="O65" s="367"/>
      <c r="P65" s="367"/>
      <c r="Q65" s="367"/>
      <c r="R65" s="508"/>
      <c r="S65" s="492"/>
    </row>
    <row r="66" spans="3:19">
      <c r="C66" s="503"/>
      <c r="D66" s="353"/>
      <c r="E66" s="354"/>
      <c r="F66" s="354"/>
      <c r="G66" s="354"/>
      <c r="H66" s="354"/>
      <c r="I66" s="354"/>
      <c r="J66" s="354"/>
      <c r="K66" s="354"/>
      <c r="L66" s="354"/>
      <c r="M66" s="354"/>
      <c r="N66" s="354"/>
      <c r="O66" s="354"/>
      <c r="P66" s="354"/>
      <c r="Q66" s="354"/>
      <c r="R66" s="508"/>
      <c r="S66" s="492"/>
    </row>
    <row r="67" spans="3:19" ht="20.399999999999999" customHeight="1">
      <c r="C67" s="503"/>
      <c r="D67" s="355"/>
      <c r="E67" s="356"/>
      <c r="F67" s="356"/>
      <c r="G67" s="356"/>
      <c r="H67" s="356"/>
      <c r="I67" s="356"/>
      <c r="J67" s="356"/>
      <c r="K67" s="356"/>
      <c r="L67" s="356"/>
      <c r="M67" s="356"/>
      <c r="N67" s="356"/>
      <c r="O67" s="356"/>
      <c r="P67" s="356"/>
      <c r="Q67" s="356"/>
      <c r="R67" s="509"/>
      <c r="S67" s="493"/>
    </row>
    <row r="68" spans="3:19">
      <c r="S68" s="14" t="s">
        <v>411</v>
      </c>
    </row>
  </sheetData>
  <sheetProtection algorithmName="SHA-512" hashValue="mCX3EA7FugDQmzNx2JrpzPrx3q9CbW1Q+FqsRUYgc8rdYfzNyeSHaQY01hcSQYrfywI+Vv+aLiF2XAzRXsIRxA==" saltValue="dMxospH4LiMJIEHjWdLWGQ==" spinCount="100000" sheet="1" formatCells="0" formatRows="0"/>
  <dataConsolidate/>
  <mergeCells count="51">
    <mergeCell ref="AQ9:AS9"/>
    <mergeCell ref="C54:E54"/>
    <mergeCell ref="C59:E59"/>
    <mergeCell ref="N59:R59"/>
    <mergeCell ref="C9:S9"/>
    <mergeCell ref="C11:C13"/>
    <mergeCell ref="D11:D13"/>
    <mergeCell ref="C58:E58"/>
    <mergeCell ref="C55:E55"/>
    <mergeCell ref="C56:E56"/>
    <mergeCell ref="C57:E57"/>
    <mergeCell ref="F55:G55"/>
    <mergeCell ref="F56:G56"/>
    <mergeCell ref="F57:G57"/>
    <mergeCell ref="F58:R58"/>
    <mergeCell ref="S64:S67"/>
    <mergeCell ref="C60:E60"/>
    <mergeCell ref="D63:G63"/>
    <mergeCell ref="D64:G64"/>
    <mergeCell ref="D65:G65"/>
    <mergeCell ref="N60:R60"/>
    <mergeCell ref="I65:K65"/>
    <mergeCell ref="C63:C67"/>
    <mergeCell ref="C61:E61"/>
    <mergeCell ref="R63:R67"/>
    <mergeCell ref="B1:T3"/>
    <mergeCell ref="O4:T4"/>
    <mergeCell ref="L5:M5"/>
    <mergeCell ref="L6:M6"/>
    <mergeCell ref="L7:M7"/>
    <mergeCell ref="N5:S5"/>
    <mergeCell ref="N6:S6"/>
    <mergeCell ref="N7:S7"/>
    <mergeCell ref="E5:K7"/>
    <mergeCell ref="C5:D7"/>
    <mergeCell ref="V4:AR5"/>
    <mergeCell ref="AS5:AZ5"/>
    <mergeCell ref="V6:AL7"/>
    <mergeCell ref="AM6:AN7"/>
    <mergeCell ref="E11:E12"/>
    <mergeCell ref="AG11:AI11"/>
    <mergeCell ref="F11:F12"/>
    <mergeCell ref="I11:I12"/>
    <mergeCell ref="R11:R12"/>
    <mergeCell ref="S11:S12"/>
    <mergeCell ref="K11:K12"/>
    <mergeCell ref="P11:P12"/>
    <mergeCell ref="Q11:Q12"/>
    <mergeCell ref="O11:O12"/>
    <mergeCell ref="AO6:AT7"/>
    <mergeCell ref="V9:AL9"/>
  </mergeCells>
  <phoneticPr fontId="1"/>
  <conditionalFormatting sqref="O14:O54">
    <cfRule type="expression" dxfId="5" priority="1">
      <formula>AND(ISNUMBER(Q14)=TRUE,P14="")</formula>
    </cfRule>
  </conditionalFormatting>
  <conditionalFormatting sqref="AH14:AH54">
    <cfRule type="cellIs" dxfId="4" priority="3" stopIfTrue="1" operator="greaterThan">
      <formula>2</formula>
    </cfRule>
  </conditionalFormatting>
  <dataValidations count="2">
    <dataValidation allowBlank="1" showInputMessage="1" sqref="C9:S9" xr:uid="{938D100F-A1F8-4CE4-8AA6-6B5BA7DEC50E}"/>
    <dataValidation type="list" allowBlank="1" showInputMessage="1" sqref="E14:E53" xr:uid="{600C56F6-9F57-4177-878D-366003D78426}">
      <formula1>INDIRECT(D14)</formula1>
    </dataValidation>
  </dataValidations>
  <pageMargins left="0.23622047244094491" right="0.23622047244094491" top="0.74803149606299213" bottom="0.74803149606299213" header="0.31496062992125984" footer="0.31496062992125984"/>
  <pageSetup paperSize="9" scale="49" orientation="portrait" blackAndWhite="1" r:id="rId1"/>
  <colBreaks count="1" manualBreakCount="1">
    <brk id="21" max="6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37</xdr:col>
                    <xdr:colOff>457200</xdr:colOff>
                    <xdr:row>8</xdr:row>
                    <xdr:rowOff>350520</xdr:rowOff>
                  </from>
                  <to>
                    <xdr:col>38</xdr:col>
                    <xdr:colOff>426720</xdr:colOff>
                    <xdr:row>8</xdr:row>
                    <xdr:rowOff>868680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38</xdr:col>
                    <xdr:colOff>495300</xdr:colOff>
                    <xdr:row>8</xdr:row>
                    <xdr:rowOff>365760</xdr:rowOff>
                  </from>
                  <to>
                    <xdr:col>39</xdr:col>
                    <xdr:colOff>411480</xdr:colOff>
                    <xdr:row>8</xdr:row>
                    <xdr:rowOff>807720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locked="0" defaultSize="0" autoFill="0" autoLine="0" autoPict="0">
                <anchor moveWithCells="1">
                  <from>
                    <xdr:col>39</xdr:col>
                    <xdr:colOff>480060</xdr:colOff>
                    <xdr:row>8</xdr:row>
                    <xdr:rowOff>464820</xdr:rowOff>
                  </from>
                  <to>
                    <xdr:col>40</xdr:col>
                    <xdr:colOff>502920</xdr:colOff>
                    <xdr:row>8</xdr:row>
                    <xdr:rowOff>746760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locked="0" defaultSize="0" autoFill="0" autoLine="0" autoPict="0">
                <anchor moveWithCells="1">
                  <from>
                    <xdr:col>40</xdr:col>
                    <xdr:colOff>480060</xdr:colOff>
                    <xdr:row>8</xdr:row>
                    <xdr:rowOff>426720</xdr:rowOff>
                  </from>
                  <to>
                    <xdr:col>41</xdr:col>
                    <xdr:colOff>525780</xdr:colOff>
                    <xdr:row>8</xdr:row>
                    <xdr:rowOff>807720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D128AC77-1161-498B-8B92-06963E8AFF3E}">
          <x14:formula1>
            <xm:f>入力補助!$C$2:$C$44</xm:f>
          </x14:formula1>
          <xm:sqref>D14:D53</xm:sqref>
        </x14:dataValidation>
        <x14:dataValidation type="list" allowBlank="1" showInputMessage="1" xr:uid="{15EDA63C-F1DC-46B5-A943-02EACC92DA3E}">
          <x14:formula1>
            <xm:f>入力補助!$B$2:$B$26</xm:f>
          </x14:formula1>
          <xm:sqref>C14:C54</xm:sqref>
        </x14:dataValidation>
        <x14:dataValidation type="list" allowBlank="1" showInputMessage="1" xr:uid="{72333792-57B7-4D4F-983F-EF7B3185D11C}">
          <x14:formula1>
            <xm:f>入力補助!$B$40:$B$44</xm:f>
          </x14:formula1>
          <xm:sqref>R63:R67</xm:sqref>
        </x14:dataValidation>
        <x14:dataValidation type="list" allowBlank="1" showInputMessage="1" xr:uid="{7790ECCD-49DB-4DEB-A3B6-5E34C197C269}">
          <x14:formula1>
            <xm:f>入力補助!$A$40:$A$44</xm:f>
          </x14:formula1>
          <xm:sqref>AM6:AN7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31127-7102-4494-A072-C7FF827EB36D}">
  <dimension ref="A1:AZ78"/>
  <sheetViews>
    <sheetView view="pageBreakPreview" zoomScale="70" zoomScaleNormal="80" zoomScaleSheetLayoutView="70" workbookViewId="0">
      <selection activeCell="S67" sqref="S67"/>
    </sheetView>
  </sheetViews>
  <sheetFormatPr defaultColWidth="8.59765625" defaultRowHeight="18" outlineLevelCol="1"/>
  <cols>
    <col min="1" max="1" width="8.59765625" style="352"/>
    <col min="2" max="2" width="2.5" style="352" customWidth="1"/>
    <col min="3" max="3" width="9.59765625" style="352" customWidth="1"/>
    <col min="4" max="4" width="16.8984375" style="352" customWidth="1"/>
    <col min="5" max="5" width="7.5" style="352" customWidth="1"/>
    <col min="6" max="6" width="9.5" style="352" customWidth="1"/>
    <col min="7" max="8" width="8.3984375" style="352" customWidth="1"/>
    <col min="9" max="9" width="9.3984375" style="352" customWidth="1"/>
    <col min="10" max="10" width="8.3984375" style="352" customWidth="1"/>
    <col min="11" max="11" width="9.5" style="352" customWidth="1"/>
    <col min="12" max="12" width="8.3984375" style="352" customWidth="1"/>
    <col min="13" max="14" width="9.5" style="352" customWidth="1"/>
    <col min="15" max="15" width="10.3984375" style="352" customWidth="1"/>
    <col min="16" max="17" width="8.3984375" style="352" customWidth="1"/>
    <col min="18" max="18" width="10.8984375" style="352" customWidth="1"/>
    <col min="19" max="19" width="18.8984375" style="352" customWidth="1"/>
    <col min="20" max="20" width="3.59765625" style="352" customWidth="1"/>
    <col min="21" max="21" width="8.09765625" style="352" customWidth="1"/>
    <col min="22" max="22" width="8.59765625" style="352"/>
    <col min="23" max="36" width="8.59765625" style="352" hidden="1" customWidth="1" outlineLevel="1"/>
    <col min="37" max="37" width="8.59765625" style="352" collapsed="1"/>
    <col min="38" max="16384" width="8.59765625" style="352"/>
  </cols>
  <sheetData>
    <row r="1" spans="1:52" ht="10.5" customHeight="1">
      <c r="B1" s="484" t="s">
        <v>214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</row>
    <row r="2" spans="1:52" ht="10.5" customHeight="1"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</row>
    <row r="3" spans="1:52" ht="10.5" customHeight="1"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4"/>
    </row>
    <row r="4" spans="1:52" ht="19.8">
      <c r="O4" s="485" t="s">
        <v>215</v>
      </c>
      <c r="P4" s="486"/>
      <c r="Q4" s="486"/>
      <c r="R4" s="486"/>
      <c r="S4" s="486"/>
      <c r="T4" s="486"/>
      <c r="V4" s="459" t="s">
        <v>384</v>
      </c>
      <c r="W4" s="459"/>
      <c r="X4" s="459"/>
      <c r="Y4" s="459"/>
      <c r="Z4" s="459"/>
      <c r="AA4" s="459"/>
      <c r="AB4" s="459"/>
      <c r="AC4" s="459"/>
      <c r="AD4" s="459"/>
      <c r="AE4" s="459"/>
      <c r="AF4" s="459"/>
      <c r="AG4" s="459"/>
      <c r="AH4" s="459"/>
      <c r="AI4" s="459"/>
      <c r="AJ4" s="459"/>
      <c r="AK4" s="459"/>
      <c r="AL4" s="459"/>
      <c r="AM4" s="459"/>
      <c r="AN4" s="459"/>
      <c r="AO4" s="459"/>
      <c r="AP4" s="459"/>
      <c r="AQ4" s="459"/>
      <c r="AR4" s="459"/>
      <c r="AS4" s="388"/>
      <c r="AT4" s="388"/>
      <c r="AU4" s="388"/>
      <c r="AV4" s="388"/>
      <c r="AW4" s="388"/>
      <c r="AX4" s="388"/>
      <c r="AY4" s="388"/>
      <c r="AZ4" s="388"/>
    </row>
    <row r="5" spans="1:52" ht="29.4" customHeight="1" thickBot="1">
      <c r="C5" s="490" t="s">
        <v>219</v>
      </c>
      <c r="D5" s="490"/>
      <c r="E5" s="537" t="str">
        <f>IF('水理計算書(直結加圧装置まで)'!E5="","",'水理計算書(直結加圧装置まで)'!E5)</f>
        <v/>
      </c>
      <c r="F5" s="537"/>
      <c r="G5" s="537"/>
      <c r="H5" s="537"/>
      <c r="I5" s="537"/>
      <c r="J5" s="537"/>
      <c r="K5" s="537"/>
      <c r="L5" s="487" t="s">
        <v>216</v>
      </c>
      <c r="M5" s="487"/>
      <c r="N5" s="538" t="str">
        <f>IF('水理計算書(直結加圧装置まで)'!$N5="","",'水理計算書(直結加圧装置まで)'!$N5)</f>
        <v/>
      </c>
      <c r="O5" s="538"/>
      <c r="P5" s="538"/>
      <c r="Q5" s="538"/>
      <c r="R5" s="538"/>
      <c r="S5" s="538"/>
      <c r="V5" s="459" t="b">
        <v>0</v>
      </c>
      <c r="W5" s="459"/>
      <c r="X5" s="459"/>
      <c r="Y5" s="459"/>
      <c r="Z5" s="459"/>
      <c r="AA5" s="459"/>
      <c r="AB5" s="459"/>
      <c r="AC5" s="459"/>
      <c r="AD5" s="459"/>
      <c r="AE5" s="459"/>
      <c r="AF5" s="459"/>
      <c r="AG5" s="459"/>
      <c r="AH5" s="459"/>
      <c r="AI5" s="459"/>
      <c r="AJ5" s="459"/>
      <c r="AK5" s="459"/>
      <c r="AL5" s="459"/>
      <c r="AM5" s="459"/>
      <c r="AN5" s="459"/>
      <c r="AO5" s="459"/>
      <c r="AP5" s="459"/>
      <c r="AQ5" s="459"/>
      <c r="AR5" s="459"/>
      <c r="AS5" s="460"/>
      <c r="AT5" s="460"/>
      <c r="AU5" s="460"/>
      <c r="AV5" s="460"/>
      <c r="AW5" s="460"/>
      <c r="AX5" s="460"/>
      <c r="AY5" s="460"/>
      <c r="AZ5" s="460"/>
    </row>
    <row r="6" spans="1:52" ht="29.4" customHeight="1">
      <c r="C6" s="490"/>
      <c r="D6" s="490"/>
      <c r="E6" s="537"/>
      <c r="F6" s="537"/>
      <c r="G6" s="537"/>
      <c r="H6" s="537"/>
      <c r="I6" s="537"/>
      <c r="J6" s="537"/>
      <c r="K6" s="537"/>
      <c r="L6" s="487" t="s">
        <v>217</v>
      </c>
      <c r="M6" s="487"/>
      <c r="N6" s="538" t="str">
        <f>IF('水理計算書(直結加圧装置まで)'!$N6="","",'水理計算書(直結加圧装置まで)'!$N6)</f>
        <v/>
      </c>
      <c r="O6" s="538"/>
      <c r="P6" s="538"/>
      <c r="Q6" s="538"/>
      <c r="R6" s="538"/>
      <c r="S6" s="538"/>
      <c r="V6" s="461" t="s">
        <v>385</v>
      </c>
      <c r="W6" s="461"/>
      <c r="X6" s="461"/>
      <c r="Y6" s="461"/>
      <c r="Z6" s="461"/>
      <c r="AA6" s="461"/>
      <c r="AB6" s="461"/>
      <c r="AC6" s="461"/>
      <c r="AD6" s="461"/>
      <c r="AE6" s="461"/>
      <c r="AF6" s="461"/>
      <c r="AG6" s="461"/>
      <c r="AH6" s="461"/>
      <c r="AI6" s="461"/>
      <c r="AJ6" s="461"/>
      <c r="AK6" s="461"/>
      <c r="AL6" s="461"/>
      <c r="AM6" s="555">
        <v>0.2</v>
      </c>
      <c r="AN6" s="556"/>
      <c r="AO6" s="481" t="s">
        <v>386</v>
      </c>
      <c r="AP6" s="482"/>
      <c r="AQ6" s="482"/>
      <c r="AR6" s="482"/>
      <c r="AS6" s="482"/>
      <c r="AT6" s="482"/>
      <c r="AU6" s="388"/>
      <c r="AV6" s="388"/>
      <c r="AW6" s="388"/>
      <c r="AX6" s="388"/>
      <c r="AY6" s="388"/>
      <c r="AZ6" s="388"/>
    </row>
    <row r="7" spans="1:52" ht="29.4" customHeight="1" thickBot="1">
      <c r="C7" s="490"/>
      <c r="D7" s="490"/>
      <c r="E7" s="537"/>
      <c r="F7" s="537"/>
      <c r="G7" s="537"/>
      <c r="H7" s="537"/>
      <c r="I7" s="537"/>
      <c r="J7" s="537"/>
      <c r="K7" s="537"/>
      <c r="L7" s="487" t="s">
        <v>218</v>
      </c>
      <c r="M7" s="487"/>
      <c r="N7" s="538" t="str">
        <f>IF('水理計算書(直結加圧装置まで)'!$N7="","",'水理計算書(直結加圧装置まで)'!$N7)</f>
        <v/>
      </c>
      <c r="O7" s="538"/>
      <c r="P7" s="538"/>
      <c r="Q7" s="538"/>
      <c r="R7" s="538"/>
      <c r="S7" s="538"/>
      <c r="V7" s="461"/>
      <c r="W7" s="461"/>
      <c r="X7" s="461"/>
      <c r="Y7" s="461"/>
      <c r="Z7" s="461"/>
      <c r="AA7" s="461"/>
      <c r="AB7" s="461"/>
      <c r="AC7" s="461"/>
      <c r="AD7" s="461"/>
      <c r="AE7" s="461"/>
      <c r="AF7" s="461"/>
      <c r="AG7" s="461"/>
      <c r="AH7" s="461"/>
      <c r="AI7" s="461"/>
      <c r="AJ7" s="461"/>
      <c r="AK7" s="461"/>
      <c r="AL7" s="461"/>
      <c r="AM7" s="557"/>
      <c r="AN7" s="558"/>
      <c r="AO7" s="481"/>
      <c r="AP7" s="482"/>
      <c r="AQ7" s="482"/>
      <c r="AR7" s="482"/>
      <c r="AS7" s="482"/>
      <c r="AT7" s="482"/>
      <c r="AU7" s="388"/>
      <c r="AV7" s="388"/>
      <c r="AW7" s="388"/>
      <c r="AX7" s="388"/>
      <c r="AY7" s="388"/>
      <c r="AZ7" s="388"/>
    </row>
    <row r="8" spans="1:52" s="388" customFormat="1" ht="6" customHeight="1" thickBot="1">
      <c r="C8" s="393"/>
      <c r="D8" s="393"/>
      <c r="E8" s="272"/>
      <c r="F8" s="272"/>
      <c r="G8" s="272"/>
      <c r="H8" s="272"/>
      <c r="I8" s="272"/>
      <c r="J8" s="272"/>
      <c r="K8" s="272"/>
      <c r="L8" s="394"/>
      <c r="M8" s="394"/>
      <c r="N8" s="395"/>
      <c r="O8" s="395"/>
      <c r="P8" s="395"/>
      <c r="Q8" s="395"/>
      <c r="R8" s="395"/>
      <c r="S8" s="395"/>
    </row>
    <row r="9" spans="1:52" s="388" customFormat="1" ht="42" customHeight="1" thickBot="1">
      <c r="C9" s="539"/>
      <c r="D9" s="540"/>
      <c r="E9" s="540"/>
      <c r="F9" s="540"/>
      <c r="G9" s="540"/>
      <c r="H9" s="540"/>
      <c r="I9" s="540"/>
      <c r="J9" s="540"/>
      <c r="K9" s="540"/>
      <c r="L9" s="540"/>
      <c r="M9" s="540"/>
      <c r="N9" s="540"/>
      <c r="O9" s="540"/>
      <c r="P9" s="540"/>
      <c r="Q9" s="540"/>
      <c r="R9" s="540"/>
      <c r="S9" s="541"/>
      <c r="V9" s="483" t="s">
        <v>387</v>
      </c>
      <c r="W9" s="483"/>
      <c r="X9" s="483"/>
      <c r="Y9" s="483"/>
      <c r="Z9" s="483"/>
      <c r="AA9" s="483"/>
      <c r="AB9" s="483"/>
      <c r="AC9" s="483"/>
      <c r="AD9" s="483"/>
      <c r="AE9" s="483"/>
      <c r="AF9" s="483"/>
      <c r="AG9" s="483"/>
      <c r="AH9" s="483"/>
      <c r="AI9" s="483"/>
      <c r="AJ9" s="483"/>
      <c r="AK9" s="483"/>
      <c r="AL9" s="483"/>
      <c r="AM9" s="389" t="s">
        <v>72</v>
      </c>
      <c r="AN9" s="389" t="s">
        <v>66</v>
      </c>
      <c r="AO9" s="389" t="s">
        <v>67</v>
      </c>
      <c r="AP9" s="389" t="s">
        <v>65</v>
      </c>
      <c r="AQ9" s="510" t="s">
        <v>388</v>
      </c>
      <c r="AR9" s="510"/>
      <c r="AS9" s="510"/>
      <c r="AT9" s="390"/>
      <c r="AU9" s="391" t="b">
        <v>0</v>
      </c>
      <c r="AV9" s="391" t="b">
        <v>0</v>
      </c>
      <c r="AW9" s="392" t="b">
        <v>0</v>
      </c>
      <c r="AX9" s="392" t="b">
        <v>0</v>
      </c>
    </row>
    <row r="10" spans="1:52" ht="7.5" customHeight="1">
      <c r="V10" s="536"/>
      <c r="W10" s="536"/>
      <c r="X10" s="536"/>
      <c r="Y10" s="536"/>
      <c r="Z10" s="536"/>
      <c r="AA10" s="536"/>
      <c r="AB10" s="536"/>
      <c r="AC10" s="536"/>
      <c r="AD10" s="536"/>
    </row>
    <row r="11" spans="1:52" ht="6.6" customHeight="1" thickBot="1">
      <c r="V11" s="536"/>
      <c r="W11" s="536"/>
      <c r="X11" s="536"/>
      <c r="Y11" s="536"/>
      <c r="Z11" s="536"/>
      <c r="AA11" s="536"/>
      <c r="AB11" s="536"/>
      <c r="AC11" s="536"/>
      <c r="AD11" s="536"/>
    </row>
    <row r="12" spans="1:52" ht="19.8">
      <c r="C12" s="521" t="s">
        <v>0</v>
      </c>
      <c r="D12" s="524" t="s">
        <v>1</v>
      </c>
      <c r="E12" s="466" t="s">
        <v>2</v>
      </c>
      <c r="F12" s="471" t="s">
        <v>3</v>
      </c>
      <c r="G12" s="305" t="s">
        <v>4</v>
      </c>
      <c r="H12" s="276" t="s">
        <v>7</v>
      </c>
      <c r="I12" s="473" t="s">
        <v>5</v>
      </c>
      <c r="J12" s="347" t="s">
        <v>7</v>
      </c>
      <c r="K12" s="471" t="s">
        <v>6</v>
      </c>
      <c r="L12" s="347" t="s">
        <v>7</v>
      </c>
      <c r="M12" s="349" t="s">
        <v>8</v>
      </c>
      <c r="N12" s="278" t="s">
        <v>9</v>
      </c>
      <c r="O12" s="471" t="s">
        <v>14</v>
      </c>
      <c r="P12" s="479" t="s">
        <v>212</v>
      </c>
      <c r="Q12" s="479" t="s">
        <v>15</v>
      </c>
      <c r="R12" s="475" t="s">
        <v>208</v>
      </c>
      <c r="S12" s="477" t="s">
        <v>19</v>
      </c>
      <c r="V12" s="536"/>
      <c r="W12" s="536"/>
      <c r="X12" s="536"/>
      <c r="Y12" s="536"/>
      <c r="Z12" s="536"/>
      <c r="AA12" s="536"/>
      <c r="AB12" s="536"/>
      <c r="AC12" s="536"/>
      <c r="AD12" s="536"/>
      <c r="AG12" s="468" t="s">
        <v>164</v>
      </c>
      <c r="AH12" s="469"/>
      <c r="AI12" s="470"/>
      <c r="AJ12" s="266" t="s">
        <v>201</v>
      </c>
    </row>
    <row r="13" spans="1:52" ht="11.1" customHeight="1">
      <c r="C13" s="522"/>
      <c r="D13" s="525"/>
      <c r="E13" s="467"/>
      <c r="F13" s="472"/>
      <c r="G13" s="351" t="s">
        <v>81</v>
      </c>
      <c r="H13" s="280" t="s">
        <v>77</v>
      </c>
      <c r="I13" s="474"/>
      <c r="J13" s="348" t="s">
        <v>78</v>
      </c>
      <c r="K13" s="472"/>
      <c r="L13" s="348" t="s">
        <v>79</v>
      </c>
      <c r="M13" s="350" t="s">
        <v>80</v>
      </c>
      <c r="N13" s="281" t="s">
        <v>82</v>
      </c>
      <c r="O13" s="472"/>
      <c r="P13" s="480"/>
      <c r="Q13" s="480"/>
      <c r="R13" s="476"/>
      <c r="S13" s="478"/>
      <c r="AG13" s="235" t="s">
        <v>165</v>
      </c>
      <c r="AH13" s="235" t="s">
        <v>166</v>
      </c>
      <c r="AI13" s="235" t="s">
        <v>167</v>
      </c>
      <c r="AJ13" s="235" t="s">
        <v>168</v>
      </c>
    </row>
    <row r="14" spans="1:52" ht="20.399999999999999" thickBot="1">
      <c r="C14" s="523"/>
      <c r="D14" s="526"/>
      <c r="E14" s="330" t="s">
        <v>340</v>
      </c>
      <c r="F14" s="282" t="s">
        <v>10</v>
      </c>
      <c r="G14" s="307" t="s">
        <v>10</v>
      </c>
      <c r="H14" s="284" t="s">
        <v>13</v>
      </c>
      <c r="I14" s="283" t="s">
        <v>11</v>
      </c>
      <c r="J14" s="310" t="s">
        <v>13</v>
      </c>
      <c r="K14" s="282" t="s">
        <v>404</v>
      </c>
      <c r="L14" s="310" t="s">
        <v>13</v>
      </c>
      <c r="M14" s="283" t="s">
        <v>13</v>
      </c>
      <c r="N14" s="285" t="s">
        <v>13</v>
      </c>
      <c r="O14" s="282" t="s">
        <v>17</v>
      </c>
      <c r="P14" s="307" t="s">
        <v>17</v>
      </c>
      <c r="Q14" s="307" t="s">
        <v>18</v>
      </c>
      <c r="R14" s="284" t="s">
        <v>17</v>
      </c>
      <c r="S14" s="284" t="s">
        <v>16</v>
      </c>
      <c r="U14" s="352" t="s">
        <v>351</v>
      </c>
      <c r="W14" s="7" t="s">
        <v>83</v>
      </c>
      <c r="X14" s="7" t="s">
        <v>84</v>
      </c>
      <c r="Y14" s="7" t="s">
        <v>85</v>
      </c>
      <c r="Z14" s="12" t="s">
        <v>130</v>
      </c>
      <c r="AA14" s="12" t="s">
        <v>337</v>
      </c>
      <c r="AB14" s="12" t="s">
        <v>338</v>
      </c>
      <c r="AC14" s="12" t="s">
        <v>131</v>
      </c>
      <c r="AD14" s="12" t="s">
        <v>195</v>
      </c>
      <c r="AE14" s="12" t="s">
        <v>196</v>
      </c>
      <c r="AF14" s="12" t="s">
        <v>339</v>
      </c>
      <c r="AG14" s="236" t="s">
        <v>169</v>
      </c>
      <c r="AH14" s="236" t="s">
        <v>170</v>
      </c>
      <c r="AI14" s="236" t="s">
        <v>171</v>
      </c>
      <c r="AJ14" s="236" t="s">
        <v>172</v>
      </c>
    </row>
    <row r="15" spans="1:52" ht="20.399999999999999" customHeight="1">
      <c r="A15" s="384"/>
      <c r="C15" s="419"/>
      <c r="D15" s="417"/>
      <c r="E15" s="441"/>
      <c r="F15" s="419"/>
      <c r="G15" s="292" t="str">
        <f>IF(F15="","",W15*6+IF(X15=0,0,IF(X15=1,1,IF(X15&lt;5,2,IF(X15&lt;11,3,IF(X15&lt;16,4,IF(X15&lt;21,5,IF(X15&lt;30,6,0))))))))</f>
        <v/>
      </c>
      <c r="H15" s="458" t="str">
        <f>IF(F15="","",$AM$6)</f>
        <v/>
      </c>
      <c r="I15" s="421"/>
      <c r="J15" s="297" t="str">
        <f>IF(I15="","",IF(I15&lt;10,ROUND(42*(I15^0.33)/60,1),IF(I15&lt;600,ROUND(19*(I15^0.67)/60,1),ROUND(2.8*(I15^0.97)/60,1))))</f>
        <v/>
      </c>
      <c r="K15" s="419"/>
      <c r="L15" s="299" t="str">
        <f>IF(K15="","",IF(K15&lt;31,ROUND(26*(K15^0.36)/60,1),IF(K15&lt;301,ROUND(13*(K15^0.56)/60,1),ROUND(6.9*(K15^0.67)/60,1))))</f>
        <v/>
      </c>
      <c r="M15" s="423"/>
      <c r="N15" s="301" t="str">
        <f t="shared" ref="N15:N54" si="0">IF(_xlfn.AGGREGATE(9,3,Y15,J15,L15,M15)=0,"",_xlfn.AGGREGATE(9,3,Y15,J15,L15,M15))</f>
        <v/>
      </c>
      <c r="O15" s="425"/>
      <c r="P15" s="323" t="str">
        <f>IF(D15="","",IFERROR(VLOOKUP(AD15,入力補助!$U$3:$V$94,2,FALSE),""))</f>
        <v/>
      </c>
      <c r="Q15" s="293" t="str">
        <f>IF(AJ15="",IFERROR(IF(AI15&lt;10,ROUND(AI15,1),ROUND(AI15,0)),""),"")</f>
        <v/>
      </c>
      <c r="R15" s="427"/>
      <c r="S15" s="303" t="str">
        <f>IF(D15="","",IF(ISNUMBER(R15)=TRUE,R15,IF(ISNUMBER(AJ15)=TRUE,ROUND(AJ15,2),IF(ISNUMBER(P15)=TRUE,ROUND(P15*Q15/1000,2),ROUND(O15*Q15/1000,2)))))</f>
        <v/>
      </c>
      <c r="T15" s="352" t="str">
        <f>IF(D15="SUS","S",IF(D15="VSP","V",IF(D15="COP","C","")))</f>
        <v/>
      </c>
      <c r="U15" s="339" t="str">
        <f>IFERROR(IF(AND(ROUND(AH15,1)&gt;2,OR(D15="Pe",D15="PeH",D15="HPPE",D15="SUS",D15="PBP",D15="VSP",D15="XPe",D15="VP",D15="COP",D15="HIVP",D15="鋳鉄管",D15="給水管")),"Over",""),"")</f>
        <v/>
      </c>
      <c r="W15" s="352">
        <f t="shared" ref="W15:W54" si="1">ROUNDDOWN(F15/30,0)</f>
        <v>0</v>
      </c>
      <c r="X15" s="352">
        <f t="shared" ref="X15:X54" si="2">F15-W15*30</f>
        <v>0</v>
      </c>
      <c r="Y15" s="352" t="e">
        <f t="shared" ref="Y15:Y54" si="3">G15*H15</f>
        <v>#VALUE!</v>
      </c>
      <c r="Z15" s="352" t="e">
        <f>VLOOKUP(D15,入力補助!$C$2:$Q$44,14,FALSE)</f>
        <v>#N/A</v>
      </c>
      <c r="AA15" s="352" t="e">
        <f>VLOOKUP(D15,入力補助!$C$2:$Q$44,15,FALSE)</f>
        <v>#N/A</v>
      </c>
      <c r="AB15" s="352" t="e">
        <f>VLOOKUP(D15,入力補助!$C$2:$R$44,16,FALSE)</f>
        <v>#N/A</v>
      </c>
      <c r="AC15" s="352" t="str">
        <f t="shared" ref="AC15:AC54" si="4">IF(LEN(E15)=3,E15,0&amp;E15)</f>
        <v>0</v>
      </c>
      <c r="AD15" s="352" t="e">
        <f>Z15&amp;AC15</f>
        <v>#N/A</v>
      </c>
      <c r="AE15" s="352" t="e">
        <f>AA15&amp;AC15</f>
        <v>#N/A</v>
      </c>
      <c r="AF15" s="352" t="e">
        <f>AB15&amp;AC15</f>
        <v>#N/A</v>
      </c>
      <c r="AG15" s="237" t="e">
        <f>IF(AE15="","",VLOOKUP(IF(OR(AND($AV$9=TRUE,$AN$9=D15),AND($AW$9=TRUE,$AO$9=D15),AND($AX$9=TRUE,$AP$9=D15,E15&lt;50),AND($AU$9=TRUE,$AM$9=D15)),AE15,AF15),入力補助!$Z$3:$AA$94,2,FALSE))</f>
        <v>#N/A</v>
      </c>
      <c r="AH15" s="238" t="str">
        <f t="shared" ref="AH15:AH54" si="5">IF(N15="","",((N15/1000)/((AG15/1000)^2*3.14/4)))</f>
        <v/>
      </c>
      <c r="AI15" s="237" t="str">
        <f t="shared" ref="AI15:AI54" si="6">IF(N15="","",IF(AG15&gt;60,ROUND((10.666*110^-1.85*(AG15/1000)^-4.87*(N15/1000)^1.85*1)*1000,1),ROUND(((0.0126+((0.01739-0.1087*(AG15/1000))/SQRT(AH15)))*(1/(AG15/1000))*((AH15^2)/(2*9.8))*1000),2)))</f>
        <v/>
      </c>
      <c r="AJ15" s="239" t="str">
        <f>IFERROR(VLOOKUP(N15,コード表!$B$6:$BJ$3006,MATCH(AD15,コード表!$B$6:$BJ$6,0)),"")</f>
        <v/>
      </c>
    </row>
    <row r="16" spans="1:52" ht="20.399999999999999" customHeight="1">
      <c r="A16" s="384"/>
      <c r="C16" s="420"/>
      <c r="D16" s="418"/>
      <c r="E16" s="442"/>
      <c r="F16" s="420"/>
      <c r="G16" s="294" t="str">
        <f t="shared" ref="G16:G54" si="7">IF(D16="","",IF(F16="",G15,W16*6+IF(X16=0,0,IF(X16=1,1,IF(X16&lt;5,2,IF(X16&lt;11,3,IF(X16&lt;16,4,IF(X16&lt;21,5,IF(X16&lt;30,6,0)))))))))</f>
        <v/>
      </c>
      <c r="H16" s="296" t="str">
        <f>IF(G16="","",$AM$6)</f>
        <v/>
      </c>
      <c r="I16" s="422"/>
      <c r="J16" s="298" t="str">
        <f>IF(D16="","",IF(I16="",J15,IF(I16&lt;10,ROUND(42*(I16^0.33)/60,1),IF(I16&lt;600,ROUND(19*(I16^0.67)/60,1),ROUND(2.8*(I16^0.97)/60,1)))))</f>
        <v/>
      </c>
      <c r="K16" s="420"/>
      <c r="L16" s="300" t="str">
        <f>IF(D16="","",IF(K16="",L15,IF(K16&lt;31,ROUND(26*(K16^0.36)/60,1),IF(K16&lt;301,ROUND(13*(K16^0.56)/60,1),ROUND(6.9*(K16^0.67)/60,1)))))</f>
        <v/>
      </c>
      <c r="M16" s="424"/>
      <c r="N16" s="302" t="str">
        <f t="shared" si="0"/>
        <v/>
      </c>
      <c r="O16" s="426"/>
      <c r="P16" s="324" t="str">
        <f>IF(D16="","",IFERROR(VLOOKUP(AD16,入力補助!$U$3:$V$94,2,FALSE),""))</f>
        <v/>
      </c>
      <c r="Q16" s="295" t="str">
        <f t="shared" ref="Q16:Q54" si="8">IF(AJ16="",IFERROR(IF(AI16&lt;10,ROUND(AI16,1),ROUND(AI16,0)),""),"")</f>
        <v/>
      </c>
      <c r="R16" s="428"/>
      <c r="S16" s="304" t="str">
        <f t="shared" ref="S16:S62" si="9">IF(D16="","",IF(ISNUMBER(R16)=TRUE,R16,IF(ISNUMBER(AJ16)=TRUE,ROUND(AJ16,2),IF(ISNUMBER(P16)=TRUE,ROUND(P16*Q16/1000,2),ROUND(O16*Q16/1000,2)))))</f>
        <v/>
      </c>
      <c r="T16" s="352" t="str">
        <f t="shared" ref="T16:T54" si="10">IF(D16="SUS","S",IF(D16="VSP","V",IF(D16="COP","C","")))</f>
        <v/>
      </c>
      <c r="U16" s="339" t="str">
        <f t="shared" ref="U16:U63" si="11">IFERROR(IF(AND(ROUND(AH16,1)&gt;2,OR(D16="Pe",D16="PeH",D16="HPPE",D16="SUS",D16="PBP",D16="VSP",D16="XPe",D16="VP",D16="COP",D16="HIVP",D16="鋳鉄管",D16="給水管")),"Over",""),"")</f>
        <v/>
      </c>
      <c r="W16" s="352">
        <f t="shared" si="1"/>
        <v>0</v>
      </c>
      <c r="X16" s="352">
        <f t="shared" si="2"/>
        <v>0</v>
      </c>
      <c r="Y16" s="352" t="e">
        <f t="shared" si="3"/>
        <v>#VALUE!</v>
      </c>
      <c r="Z16" s="352" t="e">
        <f>VLOOKUP(D16,入力補助!$C$2:$Q$44,14,FALSE)</f>
        <v>#N/A</v>
      </c>
      <c r="AA16" s="352" t="e">
        <f>VLOOKUP(D16,入力補助!$C$2:$Q$44,15,FALSE)</f>
        <v>#N/A</v>
      </c>
      <c r="AB16" s="352" t="e">
        <f>VLOOKUP(D16,入力補助!$C$2:$R$44,16,FALSE)</f>
        <v>#N/A</v>
      </c>
      <c r="AC16" s="352" t="str">
        <f t="shared" si="4"/>
        <v>0</v>
      </c>
      <c r="AD16" s="352" t="e">
        <f>Z16&amp;AC16</f>
        <v>#N/A</v>
      </c>
      <c r="AE16" s="352" t="e">
        <f>AA16&amp;AC16</f>
        <v>#N/A</v>
      </c>
      <c r="AF16" s="352" t="e">
        <f t="shared" ref="AF16:AF54" si="12">AB16&amp;AC16</f>
        <v>#N/A</v>
      </c>
      <c r="AG16" s="237" t="e">
        <f>IF(AE16="","",VLOOKUP(IF(OR(AND($AV$9=TRUE,$AN$9=D16),AND($AW$9=TRUE,$AO$9=D16),AND($AX$9=TRUE,$AP$9=D16,E16&lt;50),AND($AU$9=TRUE,$AM$9=D16)),AE16,AF16),入力補助!$Z$3:$AA$94,2,FALSE))</f>
        <v>#N/A</v>
      </c>
      <c r="AH16" s="238" t="str">
        <f t="shared" si="5"/>
        <v/>
      </c>
      <c r="AI16" s="237" t="str">
        <f t="shared" si="6"/>
        <v/>
      </c>
      <c r="AJ16" s="239" t="str">
        <f>IFERROR(VLOOKUP(N16,コード表!$B$6:$BJ$3006,MATCH(AD16,コード表!$B$6:$BJ$6,0)),"")</f>
        <v/>
      </c>
    </row>
    <row r="17" spans="1:36" ht="20.399999999999999" customHeight="1">
      <c r="A17" s="384"/>
      <c r="C17" s="420"/>
      <c r="D17" s="418"/>
      <c r="E17" s="442"/>
      <c r="F17" s="420"/>
      <c r="G17" s="294" t="str">
        <f t="shared" si="7"/>
        <v/>
      </c>
      <c r="H17" s="296" t="str">
        <f t="shared" ref="H17:H63" si="13">IF(G17="","",$AM$6)</f>
        <v/>
      </c>
      <c r="I17" s="422"/>
      <c r="J17" s="298" t="str">
        <f t="shared" ref="J17:J54" si="14">IF(D17="","",IF(I17="",J16,IF(I17&lt;10,ROUND(42*(I17^0.33)/60,1),IF(I17&lt;600,ROUND(19*(I17^0.67)/60,1),ROUND(2.8*(I17^0.97)/60,1)))))</f>
        <v/>
      </c>
      <c r="K17" s="420"/>
      <c r="L17" s="300" t="str">
        <f t="shared" ref="L17:L63" si="15">IF(D17="","",IF(K17="",L16,IF(K17&lt;31,ROUND(26*(K17^0.36)/60,1),IF(K17&lt;301,ROUND(13*(K17^0.56)/60,1),ROUND(6.9*(K17^0.67)/60,1)))))</f>
        <v/>
      </c>
      <c r="M17" s="424"/>
      <c r="N17" s="302" t="str">
        <f t="shared" si="0"/>
        <v/>
      </c>
      <c r="O17" s="426"/>
      <c r="P17" s="324" t="str">
        <f>IF(D17="","",IFERROR(VLOOKUP(AD17,入力補助!$U$3:$V$94,2,FALSE),""))</f>
        <v/>
      </c>
      <c r="Q17" s="295" t="str">
        <f t="shared" si="8"/>
        <v/>
      </c>
      <c r="R17" s="428"/>
      <c r="S17" s="304" t="str">
        <f t="shared" si="9"/>
        <v/>
      </c>
      <c r="T17" s="352" t="str">
        <f t="shared" si="10"/>
        <v/>
      </c>
      <c r="U17" s="339" t="str">
        <f t="shared" si="11"/>
        <v/>
      </c>
      <c r="W17" s="352">
        <f t="shared" si="1"/>
        <v>0</v>
      </c>
      <c r="X17" s="352">
        <f t="shared" si="2"/>
        <v>0</v>
      </c>
      <c r="Y17" s="352" t="e">
        <f t="shared" si="3"/>
        <v>#VALUE!</v>
      </c>
      <c r="Z17" s="352" t="e">
        <f>VLOOKUP(D17,入力補助!$C$2:$Q$44,14,FALSE)</f>
        <v>#N/A</v>
      </c>
      <c r="AA17" s="352" t="e">
        <f>VLOOKUP(D17,入力補助!$C$2:$Q$44,15,FALSE)</f>
        <v>#N/A</v>
      </c>
      <c r="AB17" s="352" t="e">
        <f>VLOOKUP(D17,入力補助!$C$2:$R$44,16,FALSE)</f>
        <v>#N/A</v>
      </c>
      <c r="AC17" s="352" t="str">
        <f t="shared" si="4"/>
        <v>0</v>
      </c>
      <c r="AD17" s="352" t="e">
        <f>Z17&amp;AC17</f>
        <v>#N/A</v>
      </c>
      <c r="AE17" s="352" t="e">
        <f t="shared" ref="AE17:AE54" si="16">AA17&amp;AC17</f>
        <v>#N/A</v>
      </c>
      <c r="AF17" s="352" t="e">
        <f t="shared" si="12"/>
        <v>#N/A</v>
      </c>
      <c r="AG17" s="237" t="e">
        <f>IF(AE17="","",VLOOKUP(IF(OR(AND($AV$9=TRUE,$AN$9=D17),AND($AW$9=TRUE,$AO$9=D17),AND($AX$9=TRUE,$AP$9=D17,E17&lt;50),AND($AU$9=TRUE,$AM$9=D17)),AE17,AF17),入力補助!$Z$3:$AA$94,2,FALSE))</f>
        <v>#N/A</v>
      </c>
      <c r="AH17" s="238" t="str">
        <f t="shared" si="5"/>
        <v/>
      </c>
      <c r="AI17" s="237" t="str">
        <f t="shared" si="6"/>
        <v/>
      </c>
      <c r="AJ17" s="239" t="str">
        <f>IFERROR(VLOOKUP(N17,コード表!$B$6:$BJ$3006,MATCH(AD17,コード表!$B$6:$BJ$6,0)),"")</f>
        <v/>
      </c>
    </row>
    <row r="18" spans="1:36" ht="20.399999999999999" customHeight="1">
      <c r="A18" s="384"/>
      <c r="C18" s="420"/>
      <c r="D18" s="418"/>
      <c r="E18" s="442"/>
      <c r="F18" s="420"/>
      <c r="G18" s="294" t="str">
        <f t="shared" si="7"/>
        <v/>
      </c>
      <c r="H18" s="296" t="str">
        <f t="shared" si="13"/>
        <v/>
      </c>
      <c r="I18" s="422"/>
      <c r="J18" s="298" t="str">
        <f t="shared" si="14"/>
        <v/>
      </c>
      <c r="K18" s="420"/>
      <c r="L18" s="300" t="str">
        <f t="shared" si="15"/>
        <v/>
      </c>
      <c r="M18" s="424"/>
      <c r="N18" s="302" t="str">
        <f t="shared" si="0"/>
        <v/>
      </c>
      <c r="O18" s="426"/>
      <c r="P18" s="324" t="str">
        <f>IF(D18="","",IFERROR(VLOOKUP(AD18,入力補助!$U$3:$V$94,2,FALSE),""))</f>
        <v/>
      </c>
      <c r="Q18" s="295" t="str">
        <f t="shared" si="8"/>
        <v/>
      </c>
      <c r="R18" s="428"/>
      <c r="S18" s="304" t="str">
        <f t="shared" si="9"/>
        <v/>
      </c>
      <c r="T18" s="352" t="str">
        <f t="shared" si="10"/>
        <v/>
      </c>
      <c r="U18" s="339" t="str">
        <f t="shared" si="11"/>
        <v/>
      </c>
      <c r="W18" s="352">
        <f t="shared" si="1"/>
        <v>0</v>
      </c>
      <c r="X18" s="352">
        <f t="shared" si="2"/>
        <v>0</v>
      </c>
      <c r="Y18" s="352" t="e">
        <f t="shared" si="3"/>
        <v>#VALUE!</v>
      </c>
      <c r="Z18" s="352" t="e">
        <f>VLOOKUP(D18,入力補助!$C$2:$Q$44,14,FALSE)</f>
        <v>#N/A</v>
      </c>
      <c r="AA18" s="352" t="e">
        <f>VLOOKUP(D18,入力補助!$C$2:$Q$44,15,FALSE)</f>
        <v>#N/A</v>
      </c>
      <c r="AB18" s="352" t="e">
        <f>VLOOKUP(D18,入力補助!$C$2:$R$44,16,FALSE)</f>
        <v>#N/A</v>
      </c>
      <c r="AC18" s="352" t="str">
        <f t="shared" si="4"/>
        <v>0</v>
      </c>
      <c r="AD18" s="352" t="e">
        <f t="shared" ref="AD18:AD54" si="17">Z18&amp;AC18</f>
        <v>#N/A</v>
      </c>
      <c r="AE18" s="352" t="e">
        <f t="shared" si="16"/>
        <v>#N/A</v>
      </c>
      <c r="AF18" s="352" t="e">
        <f t="shared" si="12"/>
        <v>#N/A</v>
      </c>
      <c r="AG18" s="237" t="e">
        <f>IF(AE18="","",VLOOKUP(IF(OR(AND($AV$9=TRUE,$AN$9=D18),AND($AW$9=TRUE,$AO$9=D18),AND($AX$9=TRUE,$AP$9=D18,E18&lt;50),AND($AU$9=TRUE,$AM$9=D18)),AE18,AF18),入力補助!$Z$3:$AA$94,2,FALSE))</f>
        <v>#N/A</v>
      </c>
      <c r="AH18" s="238" t="str">
        <f t="shared" si="5"/>
        <v/>
      </c>
      <c r="AI18" s="237" t="str">
        <f t="shared" si="6"/>
        <v/>
      </c>
      <c r="AJ18" s="239" t="str">
        <f>IFERROR(VLOOKUP(N18,コード表!$B$6:$BJ$3006,MATCH(AD18,コード表!$B$6:$BJ$6,0)),"")</f>
        <v/>
      </c>
    </row>
    <row r="19" spans="1:36" ht="20.399999999999999" customHeight="1">
      <c r="A19" s="384"/>
      <c r="C19" s="420"/>
      <c r="D19" s="418"/>
      <c r="E19" s="442"/>
      <c r="F19" s="420"/>
      <c r="G19" s="294" t="str">
        <f t="shared" si="7"/>
        <v/>
      </c>
      <c r="H19" s="296" t="str">
        <f t="shared" si="13"/>
        <v/>
      </c>
      <c r="I19" s="422"/>
      <c r="J19" s="298" t="str">
        <f t="shared" si="14"/>
        <v/>
      </c>
      <c r="K19" s="420"/>
      <c r="L19" s="300" t="str">
        <f t="shared" si="15"/>
        <v/>
      </c>
      <c r="M19" s="424"/>
      <c r="N19" s="302" t="str">
        <f t="shared" si="0"/>
        <v/>
      </c>
      <c r="O19" s="426"/>
      <c r="P19" s="324" t="str">
        <f>IF(D19="","",IFERROR(VLOOKUP(AD19,入力補助!$U$3:$V$94,2,FALSE),""))</f>
        <v/>
      </c>
      <c r="Q19" s="295" t="str">
        <f t="shared" si="8"/>
        <v/>
      </c>
      <c r="R19" s="428"/>
      <c r="S19" s="304" t="str">
        <f t="shared" si="9"/>
        <v/>
      </c>
      <c r="T19" s="352" t="str">
        <f t="shared" si="10"/>
        <v/>
      </c>
      <c r="U19" s="339" t="str">
        <f t="shared" si="11"/>
        <v/>
      </c>
      <c r="W19" s="352">
        <f t="shared" si="1"/>
        <v>0</v>
      </c>
      <c r="X19" s="352">
        <f t="shared" si="2"/>
        <v>0</v>
      </c>
      <c r="Y19" s="352" t="e">
        <f t="shared" si="3"/>
        <v>#VALUE!</v>
      </c>
      <c r="Z19" s="352" t="e">
        <f>VLOOKUP(D19,入力補助!$C$2:$Q$44,14,FALSE)</f>
        <v>#N/A</v>
      </c>
      <c r="AA19" s="352" t="e">
        <f>VLOOKUP(D19,入力補助!$C$2:$Q$44,15,FALSE)</f>
        <v>#N/A</v>
      </c>
      <c r="AB19" s="352" t="e">
        <f>VLOOKUP(D19,入力補助!$C$2:$R$44,16,FALSE)</f>
        <v>#N/A</v>
      </c>
      <c r="AC19" s="352" t="str">
        <f t="shared" si="4"/>
        <v>0</v>
      </c>
      <c r="AD19" s="352" t="e">
        <f t="shared" si="17"/>
        <v>#N/A</v>
      </c>
      <c r="AE19" s="352" t="e">
        <f t="shared" si="16"/>
        <v>#N/A</v>
      </c>
      <c r="AF19" s="352" t="e">
        <f t="shared" si="12"/>
        <v>#N/A</v>
      </c>
      <c r="AG19" s="237" t="e">
        <f>IF(AE19="","",VLOOKUP(IF(OR(AND($AV$9=TRUE,$AN$9=D19),AND($AW$9=TRUE,$AO$9=D19),AND($AX$9=TRUE,$AP$9=D19,E19&lt;50),AND($AU$9=TRUE,$AM$9=D19)),AE19,AF19),入力補助!$Z$3:$AA$94,2,FALSE))</f>
        <v>#N/A</v>
      </c>
      <c r="AH19" s="238" t="str">
        <f t="shared" si="5"/>
        <v/>
      </c>
      <c r="AI19" s="237" t="str">
        <f t="shared" si="6"/>
        <v/>
      </c>
      <c r="AJ19" s="239" t="str">
        <f>IFERROR(VLOOKUP(N19,コード表!$B$6:$BJ$3006,MATCH(AD19,コード表!$B$6:$BJ$6,0)),"")</f>
        <v/>
      </c>
    </row>
    <row r="20" spans="1:36" ht="20.399999999999999" customHeight="1">
      <c r="A20" s="384"/>
      <c r="C20" s="420"/>
      <c r="D20" s="418"/>
      <c r="E20" s="442"/>
      <c r="F20" s="420"/>
      <c r="G20" s="294" t="str">
        <f t="shared" si="7"/>
        <v/>
      </c>
      <c r="H20" s="296" t="str">
        <f t="shared" si="13"/>
        <v/>
      </c>
      <c r="I20" s="422"/>
      <c r="J20" s="298" t="str">
        <f t="shared" si="14"/>
        <v/>
      </c>
      <c r="K20" s="420"/>
      <c r="L20" s="300" t="str">
        <f t="shared" si="15"/>
        <v/>
      </c>
      <c r="M20" s="424"/>
      <c r="N20" s="302" t="str">
        <f t="shared" si="0"/>
        <v/>
      </c>
      <c r="O20" s="426"/>
      <c r="P20" s="324" t="str">
        <f>IF(D20="","",IFERROR(VLOOKUP(AD20,入力補助!$U$3:$V$94,2,FALSE),""))</f>
        <v/>
      </c>
      <c r="Q20" s="295" t="str">
        <f t="shared" si="8"/>
        <v/>
      </c>
      <c r="R20" s="428"/>
      <c r="S20" s="304" t="str">
        <f t="shared" si="9"/>
        <v/>
      </c>
      <c r="T20" s="352" t="str">
        <f t="shared" si="10"/>
        <v/>
      </c>
      <c r="U20" s="339" t="str">
        <f t="shared" si="11"/>
        <v/>
      </c>
      <c r="W20" s="352">
        <f t="shared" si="1"/>
        <v>0</v>
      </c>
      <c r="X20" s="352">
        <f t="shared" si="2"/>
        <v>0</v>
      </c>
      <c r="Y20" s="352" t="e">
        <f t="shared" si="3"/>
        <v>#VALUE!</v>
      </c>
      <c r="Z20" s="352" t="e">
        <f>VLOOKUP(D20,入力補助!$C$2:$Q$44,14,FALSE)</f>
        <v>#N/A</v>
      </c>
      <c r="AA20" s="352" t="e">
        <f>VLOOKUP(D20,入力補助!$C$2:$Q$44,15,FALSE)</f>
        <v>#N/A</v>
      </c>
      <c r="AB20" s="352" t="e">
        <f>VLOOKUP(D20,入力補助!$C$2:$R$44,16,FALSE)</f>
        <v>#N/A</v>
      </c>
      <c r="AC20" s="352" t="str">
        <f t="shared" si="4"/>
        <v>0</v>
      </c>
      <c r="AD20" s="352" t="e">
        <f t="shared" si="17"/>
        <v>#N/A</v>
      </c>
      <c r="AE20" s="352" t="e">
        <f t="shared" si="16"/>
        <v>#N/A</v>
      </c>
      <c r="AF20" s="352" t="e">
        <f t="shared" si="12"/>
        <v>#N/A</v>
      </c>
      <c r="AG20" s="237" t="e">
        <f>IF(AE20="","",VLOOKUP(IF(OR(AND($AV$9=TRUE,$AN$9=D20),AND($AW$9=TRUE,$AO$9=D20),AND($AX$9=TRUE,$AP$9=D20,E20&lt;50),AND($AU$9=TRUE,$AM$9=D20)),AE20,AF20),入力補助!$Z$3:$AA$94,2,FALSE))</f>
        <v>#N/A</v>
      </c>
      <c r="AH20" s="238" t="str">
        <f t="shared" si="5"/>
        <v/>
      </c>
      <c r="AI20" s="237" t="str">
        <f t="shared" si="6"/>
        <v/>
      </c>
      <c r="AJ20" s="239" t="str">
        <f>IFERROR(VLOOKUP(N20,コード表!$B$6:$BJ$3006,MATCH(AD20,コード表!$B$6:$BJ$6,0)),"")</f>
        <v/>
      </c>
    </row>
    <row r="21" spans="1:36" ht="20.399999999999999" customHeight="1">
      <c r="A21" s="384"/>
      <c r="C21" s="420"/>
      <c r="D21" s="418"/>
      <c r="E21" s="442"/>
      <c r="F21" s="420"/>
      <c r="G21" s="294" t="str">
        <f t="shared" si="7"/>
        <v/>
      </c>
      <c r="H21" s="296" t="str">
        <f t="shared" si="13"/>
        <v/>
      </c>
      <c r="I21" s="422"/>
      <c r="J21" s="298" t="str">
        <f>IF(D21="","",IF(I21="",J20,IF(I21&lt;10,ROUND(42*(I21^0.33)/60,1),IF(I21&lt;600,ROUND(19*(I21^0.67)/60,1),ROUND(2.8*(I21^0.97)/60,1)))))</f>
        <v/>
      </c>
      <c r="K21" s="420"/>
      <c r="L21" s="300" t="str">
        <f t="shared" si="15"/>
        <v/>
      </c>
      <c r="M21" s="424"/>
      <c r="N21" s="302" t="str">
        <f t="shared" si="0"/>
        <v/>
      </c>
      <c r="O21" s="426"/>
      <c r="P21" s="324" t="str">
        <f>IF(D21="","",IFERROR(VLOOKUP(AD21,入力補助!$U$3:$V$94,2,FALSE),""))</f>
        <v/>
      </c>
      <c r="Q21" s="295" t="str">
        <f t="shared" si="8"/>
        <v/>
      </c>
      <c r="R21" s="428"/>
      <c r="S21" s="304" t="str">
        <f t="shared" si="9"/>
        <v/>
      </c>
      <c r="T21" s="352" t="str">
        <f>IF(D21="SUS","S",IF(D21="VSP","V",IF(D21="COP","C","")))</f>
        <v/>
      </c>
      <c r="U21" s="339" t="str">
        <f t="shared" si="11"/>
        <v/>
      </c>
      <c r="W21" s="352">
        <f t="shared" si="1"/>
        <v>0</v>
      </c>
      <c r="X21" s="352">
        <f t="shared" si="2"/>
        <v>0</v>
      </c>
      <c r="Y21" s="352" t="e">
        <f t="shared" si="3"/>
        <v>#VALUE!</v>
      </c>
      <c r="Z21" s="352" t="e">
        <f>VLOOKUP(D21,入力補助!$C$2:$Q$44,14,FALSE)</f>
        <v>#N/A</v>
      </c>
      <c r="AA21" s="352" t="e">
        <f>VLOOKUP(D21,入力補助!$C$2:$Q$44,15,FALSE)</f>
        <v>#N/A</v>
      </c>
      <c r="AB21" s="352" t="e">
        <f>VLOOKUP(D21,入力補助!$C$2:$R$44,16,FALSE)</f>
        <v>#N/A</v>
      </c>
      <c r="AC21" s="352" t="str">
        <f t="shared" si="4"/>
        <v>0</v>
      </c>
      <c r="AD21" s="352" t="e">
        <f t="shared" si="17"/>
        <v>#N/A</v>
      </c>
      <c r="AE21" s="352" t="e">
        <f t="shared" si="16"/>
        <v>#N/A</v>
      </c>
      <c r="AF21" s="352" t="e">
        <f t="shared" si="12"/>
        <v>#N/A</v>
      </c>
      <c r="AG21" s="237" t="e">
        <f>IF(AE21="","",VLOOKUP(IF(OR(AND($AV$9=TRUE,$AN$9=D21),AND($AW$9=TRUE,$AO$9=D21),AND($AX$9=TRUE,$AP$9=D21,E21&lt;50),AND($AU$9=TRUE,$AM$9=D21)),AE21,AF21),入力補助!$Z$3:$AA$94,2,FALSE))</f>
        <v>#N/A</v>
      </c>
      <c r="AH21" s="238" t="str">
        <f t="shared" si="5"/>
        <v/>
      </c>
      <c r="AI21" s="237" t="str">
        <f t="shared" si="6"/>
        <v/>
      </c>
      <c r="AJ21" s="239" t="str">
        <f>IFERROR(VLOOKUP(N21,コード表!$B$6:$BJ$3006,MATCH(AD21,コード表!$B$6:$BJ$6,0)),"")</f>
        <v/>
      </c>
    </row>
    <row r="22" spans="1:36" ht="20.399999999999999" customHeight="1">
      <c r="A22" s="384"/>
      <c r="C22" s="420"/>
      <c r="D22" s="418"/>
      <c r="E22" s="442"/>
      <c r="F22" s="420"/>
      <c r="G22" s="294" t="str">
        <f t="shared" si="7"/>
        <v/>
      </c>
      <c r="H22" s="296" t="str">
        <f t="shared" si="13"/>
        <v/>
      </c>
      <c r="I22" s="422"/>
      <c r="J22" s="298" t="str">
        <f>IF(D22="","",IF(I22="",J21,IF(I22&lt;10,ROUND(42*(I22^0.33)/60,1),IF(I22&lt;600,ROUND(19*(I22^0.67)/60,1),ROUND(2.8*(I22^0.97)/60,1)))))</f>
        <v/>
      </c>
      <c r="K22" s="420"/>
      <c r="L22" s="300" t="str">
        <f t="shared" si="15"/>
        <v/>
      </c>
      <c r="M22" s="424"/>
      <c r="N22" s="302" t="str">
        <f t="shared" si="0"/>
        <v/>
      </c>
      <c r="O22" s="426"/>
      <c r="P22" s="324" t="str">
        <f>IF(D22="","",IFERROR(VLOOKUP(AD22,入力補助!$U$3:$V$94,2,FALSE),""))</f>
        <v/>
      </c>
      <c r="Q22" s="295" t="str">
        <f t="shared" si="8"/>
        <v/>
      </c>
      <c r="R22" s="428"/>
      <c r="S22" s="304" t="str">
        <f t="shared" si="9"/>
        <v/>
      </c>
      <c r="T22" s="352" t="str">
        <f>IF(D22="SUS","S",IF(D22="VSP","V",IF(D22="COP","C","")))</f>
        <v/>
      </c>
      <c r="U22" s="339" t="str">
        <f t="shared" si="11"/>
        <v/>
      </c>
      <c r="W22" s="352">
        <f t="shared" si="1"/>
        <v>0</v>
      </c>
      <c r="X22" s="352">
        <f t="shared" si="2"/>
        <v>0</v>
      </c>
      <c r="Y22" s="352" t="e">
        <f t="shared" si="3"/>
        <v>#VALUE!</v>
      </c>
      <c r="Z22" s="352" t="e">
        <f>VLOOKUP(D22,入力補助!$C$2:$Q$44,14,FALSE)</f>
        <v>#N/A</v>
      </c>
      <c r="AA22" s="352" t="e">
        <f>VLOOKUP(D22,入力補助!$C$2:$Q$44,15,FALSE)</f>
        <v>#N/A</v>
      </c>
      <c r="AB22" s="352" t="e">
        <f>VLOOKUP(D22,入力補助!$C$2:$R$44,16,FALSE)</f>
        <v>#N/A</v>
      </c>
      <c r="AC22" s="352" t="str">
        <f t="shared" si="4"/>
        <v>0</v>
      </c>
      <c r="AD22" s="352" t="e">
        <f t="shared" si="17"/>
        <v>#N/A</v>
      </c>
      <c r="AE22" s="352" t="e">
        <f>AA22&amp;AC22</f>
        <v>#N/A</v>
      </c>
      <c r="AF22" s="352" t="e">
        <f t="shared" si="12"/>
        <v>#N/A</v>
      </c>
      <c r="AG22" s="237" t="e">
        <f>IF(AE22="","",VLOOKUP(IF(OR(AND($AV$9=TRUE,$AN$9=D22),AND($AW$9=TRUE,$AO$9=D22),AND($AX$9=TRUE,$AP$9=D22,E22&lt;50),AND($AU$9=TRUE,$AM$9=D22)),AE22,AF22),入力補助!$Z$3:$AA$94,2,FALSE))</f>
        <v>#N/A</v>
      </c>
      <c r="AH22" s="238" t="str">
        <f t="shared" si="5"/>
        <v/>
      </c>
      <c r="AI22" s="237" t="str">
        <f t="shared" si="6"/>
        <v/>
      </c>
      <c r="AJ22" s="239" t="str">
        <f>IFERROR(VLOOKUP(N22,コード表!$B$6:$BJ$3006,MATCH(AD22,コード表!$B$6:$BJ$6,0)),"")</f>
        <v/>
      </c>
    </row>
    <row r="23" spans="1:36" ht="20.399999999999999" customHeight="1">
      <c r="A23" s="384"/>
      <c r="C23" s="420"/>
      <c r="D23" s="418"/>
      <c r="E23" s="442"/>
      <c r="F23" s="420"/>
      <c r="G23" s="294" t="str">
        <f t="shared" si="7"/>
        <v/>
      </c>
      <c r="H23" s="296" t="str">
        <f t="shared" si="13"/>
        <v/>
      </c>
      <c r="I23" s="422"/>
      <c r="J23" s="298" t="str">
        <f t="shared" si="14"/>
        <v/>
      </c>
      <c r="K23" s="420"/>
      <c r="L23" s="300" t="str">
        <f t="shared" si="15"/>
        <v/>
      </c>
      <c r="M23" s="424"/>
      <c r="N23" s="302" t="str">
        <f t="shared" si="0"/>
        <v/>
      </c>
      <c r="O23" s="426"/>
      <c r="P23" s="324" t="str">
        <f>IF(D23="","",IFERROR(VLOOKUP(AD23,入力補助!$U$3:$V$94,2,FALSE),""))</f>
        <v/>
      </c>
      <c r="Q23" s="295" t="str">
        <f>IF(AJ23="",IFERROR(IF(AI23&lt;10,ROUND(AI23,1),ROUND(AI23,0)),""),"")</f>
        <v/>
      </c>
      <c r="R23" s="428"/>
      <c r="S23" s="304" t="str">
        <f t="shared" si="9"/>
        <v/>
      </c>
      <c r="T23" s="352" t="str">
        <f t="shared" si="10"/>
        <v/>
      </c>
      <c r="U23" s="339" t="str">
        <f t="shared" si="11"/>
        <v/>
      </c>
      <c r="W23" s="352">
        <f t="shared" si="1"/>
        <v>0</v>
      </c>
      <c r="X23" s="352">
        <f t="shared" si="2"/>
        <v>0</v>
      </c>
      <c r="Y23" s="352" t="e">
        <f t="shared" si="3"/>
        <v>#VALUE!</v>
      </c>
      <c r="Z23" s="352" t="e">
        <f>VLOOKUP(D23,入力補助!$C$2:$Q$44,14,FALSE)</f>
        <v>#N/A</v>
      </c>
      <c r="AA23" s="352" t="e">
        <f>VLOOKUP(D23,入力補助!$C$2:$Q$44,15,FALSE)</f>
        <v>#N/A</v>
      </c>
      <c r="AB23" s="352" t="e">
        <f>VLOOKUP(D23,入力補助!$C$2:$R$44,16,FALSE)</f>
        <v>#N/A</v>
      </c>
      <c r="AC23" s="352" t="str">
        <f t="shared" si="4"/>
        <v>0</v>
      </c>
      <c r="AD23" s="352" t="e">
        <f t="shared" si="17"/>
        <v>#N/A</v>
      </c>
      <c r="AE23" s="352" t="e">
        <f t="shared" si="16"/>
        <v>#N/A</v>
      </c>
      <c r="AF23" s="352" t="e">
        <f t="shared" si="12"/>
        <v>#N/A</v>
      </c>
      <c r="AG23" s="237" t="e">
        <f>IF(AE23="","",VLOOKUP(IF(OR(AND($AV$9=TRUE,$AN$9=D23),AND($AW$9=TRUE,$AO$9=D23),AND($AX$9=TRUE,$AP$9=D23,E23&lt;50),AND($AU$9=TRUE,$AM$9=D23)),AE23,AF23),入力補助!$Z$3:$AA$94,2,FALSE))</f>
        <v>#N/A</v>
      </c>
      <c r="AH23" s="238" t="str">
        <f t="shared" si="5"/>
        <v/>
      </c>
      <c r="AI23" s="237" t="str">
        <f t="shared" si="6"/>
        <v/>
      </c>
      <c r="AJ23" s="239" t="str">
        <f>IFERROR(VLOOKUP(N23,コード表!$B$6:$BJ$3006,MATCH(AD23,コード表!$B$6:$BJ$6,0)),"")</f>
        <v/>
      </c>
    </row>
    <row r="24" spans="1:36" ht="20.399999999999999" customHeight="1">
      <c r="A24" s="384"/>
      <c r="C24" s="420"/>
      <c r="D24" s="418"/>
      <c r="E24" s="442"/>
      <c r="F24" s="420"/>
      <c r="G24" s="294" t="str">
        <f t="shared" si="7"/>
        <v/>
      </c>
      <c r="H24" s="296" t="str">
        <f t="shared" si="13"/>
        <v/>
      </c>
      <c r="I24" s="422"/>
      <c r="J24" s="298" t="str">
        <f>IF(D24="","",IF(I24="",J23,IF(I24&lt;10,ROUND(42*(I24^0.33)/60,1),IF(I24&lt;600,ROUND(19*(I24^0.67)/60,1),ROUND(2.8*(I24^0.97)/60,1)))))</f>
        <v/>
      </c>
      <c r="K24" s="420"/>
      <c r="L24" s="300" t="str">
        <f t="shared" si="15"/>
        <v/>
      </c>
      <c r="M24" s="424"/>
      <c r="N24" s="302" t="str">
        <f t="shared" si="0"/>
        <v/>
      </c>
      <c r="O24" s="426"/>
      <c r="P24" s="324" t="str">
        <f>IF(D24="","",IFERROR(VLOOKUP(AD24,入力補助!$U$3:$V$94,2,FALSE),""))</f>
        <v/>
      </c>
      <c r="Q24" s="295" t="str">
        <f t="shared" si="8"/>
        <v/>
      </c>
      <c r="R24" s="428"/>
      <c r="S24" s="304" t="str">
        <f t="shared" si="9"/>
        <v/>
      </c>
      <c r="T24" s="352" t="str">
        <f>IF(D24="SUS","S",IF(D24="VSP","V",IF(D24="COP","C","")))</f>
        <v/>
      </c>
      <c r="U24" s="339" t="str">
        <f t="shared" si="11"/>
        <v/>
      </c>
      <c r="W24" s="352">
        <f t="shared" si="1"/>
        <v>0</v>
      </c>
      <c r="X24" s="352">
        <f t="shared" si="2"/>
        <v>0</v>
      </c>
      <c r="Y24" s="352" t="e">
        <f t="shared" si="3"/>
        <v>#VALUE!</v>
      </c>
      <c r="Z24" s="352" t="e">
        <f>VLOOKUP(D24,入力補助!$C$2:$Q$44,14,FALSE)</f>
        <v>#N/A</v>
      </c>
      <c r="AA24" s="352" t="e">
        <f>VLOOKUP(D24,入力補助!$C$2:$Q$44,15,FALSE)</f>
        <v>#N/A</v>
      </c>
      <c r="AB24" s="352" t="e">
        <f>VLOOKUP(D24,入力補助!$C$2:$R$44,16,FALSE)</f>
        <v>#N/A</v>
      </c>
      <c r="AC24" s="352" t="str">
        <f t="shared" si="4"/>
        <v>0</v>
      </c>
      <c r="AD24" s="352" t="e">
        <f t="shared" si="17"/>
        <v>#N/A</v>
      </c>
      <c r="AE24" s="352" t="e">
        <f t="shared" si="16"/>
        <v>#N/A</v>
      </c>
      <c r="AF24" s="352" t="e">
        <f t="shared" si="12"/>
        <v>#N/A</v>
      </c>
      <c r="AG24" s="237" t="e">
        <f>IF(AE24="","",VLOOKUP(IF(OR(AND($AV$9=TRUE,$AN$9=D24),AND($AW$9=TRUE,$AO$9=D24),AND($AX$9=TRUE,$AP$9=D24,E24&lt;50),AND($AU$9=TRUE,$AM$9=D24)),AE24,AF24),入力補助!$Z$3:$AA$94,2,FALSE))</f>
        <v>#N/A</v>
      </c>
      <c r="AH24" s="238" t="str">
        <f t="shared" si="5"/>
        <v/>
      </c>
      <c r="AI24" s="237" t="str">
        <f t="shared" si="6"/>
        <v/>
      </c>
      <c r="AJ24" s="239" t="str">
        <f>IFERROR(VLOOKUP(N24,コード表!$B$6:$BJ$3006,MATCH(AD24,コード表!$B$6:$BJ$6,0)),"")</f>
        <v/>
      </c>
    </row>
    <row r="25" spans="1:36" ht="20.399999999999999" customHeight="1">
      <c r="A25" s="384"/>
      <c r="C25" s="420"/>
      <c r="D25" s="418"/>
      <c r="E25" s="442"/>
      <c r="F25" s="420"/>
      <c r="G25" s="294" t="str">
        <f t="shared" si="7"/>
        <v/>
      </c>
      <c r="H25" s="296" t="str">
        <f t="shared" si="13"/>
        <v/>
      </c>
      <c r="I25" s="422"/>
      <c r="J25" s="298" t="str">
        <f>IF(D25="","",IF(I25="",J24,IF(I25&lt;10,ROUND(42*(I25^0.33)/60,1),IF(I25&lt;600,ROUND(19*(I25^0.67)/60,1),ROUND(2.8*(I25^0.97)/60,1)))))</f>
        <v/>
      </c>
      <c r="K25" s="420"/>
      <c r="L25" s="300" t="str">
        <f t="shared" si="15"/>
        <v/>
      </c>
      <c r="M25" s="424"/>
      <c r="N25" s="302" t="str">
        <f t="shared" si="0"/>
        <v/>
      </c>
      <c r="O25" s="426"/>
      <c r="P25" s="324" t="str">
        <f>IF(D25="","",IFERROR(VLOOKUP(AD25,入力補助!$U$3:$V$94,2,FALSE),""))</f>
        <v/>
      </c>
      <c r="Q25" s="295" t="str">
        <f t="shared" si="8"/>
        <v/>
      </c>
      <c r="R25" s="428"/>
      <c r="S25" s="304" t="str">
        <f t="shared" si="9"/>
        <v/>
      </c>
      <c r="T25" s="352" t="str">
        <f>IF(D25="SUS","S",IF(D25="VSP","V",IF(D25="COP","C","")))</f>
        <v/>
      </c>
      <c r="U25" s="339" t="str">
        <f t="shared" si="11"/>
        <v/>
      </c>
      <c r="W25" s="352">
        <f t="shared" si="1"/>
        <v>0</v>
      </c>
      <c r="X25" s="352">
        <f t="shared" si="2"/>
        <v>0</v>
      </c>
      <c r="Y25" s="352" t="e">
        <f t="shared" si="3"/>
        <v>#VALUE!</v>
      </c>
      <c r="Z25" s="352" t="e">
        <f>VLOOKUP(D25,入力補助!$C$2:$Q$44,14,FALSE)</f>
        <v>#N/A</v>
      </c>
      <c r="AA25" s="352" t="e">
        <f>VLOOKUP(D25,入力補助!$C$2:$Q$44,15,FALSE)</f>
        <v>#N/A</v>
      </c>
      <c r="AB25" s="352" t="e">
        <f>VLOOKUP(D25,入力補助!$C$2:$R$44,16,FALSE)</f>
        <v>#N/A</v>
      </c>
      <c r="AC25" s="352" t="str">
        <f t="shared" si="4"/>
        <v>0</v>
      </c>
      <c r="AD25" s="352" t="e">
        <f t="shared" si="17"/>
        <v>#N/A</v>
      </c>
      <c r="AE25" s="352" t="e">
        <f t="shared" si="16"/>
        <v>#N/A</v>
      </c>
      <c r="AF25" s="352" t="e">
        <f t="shared" si="12"/>
        <v>#N/A</v>
      </c>
      <c r="AG25" s="237" t="e">
        <f>IF(AE25="","",VLOOKUP(IF(OR(AND($AV$9=TRUE,$AN$9=D25),AND($AW$9=TRUE,$AO$9=D25),AND($AX$9=TRUE,$AP$9=D25,E25&lt;50),AND($AU$9=TRUE,$AM$9=D25)),AE25,AF25),入力補助!$Z$3:$AA$94,2,FALSE))</f>
        <v>#N/A</v>
      </c>
      <c r="AH25" s="238" t="str">
        <f t="shared" si="5"/>
        <v/>
      </c>
      <c r="AI25" s="237" t="str">
        <f t="shared" si="6"/>
        <v/>
      </c>
      <c r="AJ25" s="239" t="str">
        <f>IFERROR(VLOOKUP(N25,コード表!$B$6:$BJ$3006,MATCH(AD25,コード表!$B$6:$BJ$6,0)),"")</f>
        <v/>
      </c>
    </row>
    <row r="26" spans="1:36" ht="20.399999999999999" customHeight="1">
      <c r="A26" s="384"/>
      <c r="C26" s="420"/>
      <c r="D26" s="418"/>
      <c r="E26" s="442"/>
      <c r="F26" s="420"/>
      <c r="G26" s="294" t="str">
        <f t="shared" si="7"/>
        <v/>
      </c>
      <c r="H26" s="296" t="str">
        <f t="shared" si="13"/>
        <v/>
      </c>
      <c r="I26" s="422"/>
      <c r="J26" s="298" t="str">
        <f t="shared" si="14"/>
        <v/>
      </c>
      <c r="K26" s="420"/>
      <c r="L26" s="300" t="str">
        <f t="shared" si="15"/>
        <v/>
      </c>
      <c r="M26" s="424"/>
      <c r="N26" s="302" t="str">
        <f t="shared" si="0"/>
        <v/>
      </c>
      <c r="O26" s="426"/>
      <c r="P26" s="324" t="str">
        <f>IF(D26="","",IFERROR(VLOOKUP(AD26,入力補助!$U$3:$V$94,2,FALSE),""))</f>
        <v/>
      </c>
      <c r="Q26" s="295" t="str">
        <f t="shared" si="8"/>
        <v/>
      </c>
      <c r="R26" s="428"/>
      <c r="S26" s="304" t="str">
        <f t="shared" si="9"/>
        <v/>
      </c>
      <c r="T26" s="352" t="str">
        <f t="shared" si="10"/>
        <v/>
      </c>
      <c r="U26" s="339" t="str">
        <f t="shared" si="11"/>
        <v/>
      </c>
      <c r="W26" s="352">
        <f t="shared" si="1"/>
        <v>0</v>
      </c>
      <c r="X26" s="352">
        <f t="shared" si="2"/>
        <v>0</v>
      </c>
      <c r="Y26" s="352" t="e">
        <f t="shared" si="3"/>
        <v>#VALUE!</v>
      </c>
      <c r="Z26" s="352" t="e">
        <f>VLOOKUP(D26,入力補助!$C$2:$Q$44,14,FALSE)</f>
        <v>#N/A</v>
      </c>
      <c r="AA26" s="352" t="e">
        <f>VLOOKUP(D26,入力補助!$C$2:$Q$44,15,FALSE)</f>
        <v>#N/A</v>
      </c>
      <c r="AB26" s="352" t="e">
        <f>VLOOKUP(D26,入力補助!$C$2:$R$44,16,FALSE)</f>
        <v>#N/A</v>
      </c>
      <c r="AC26" s="352" t="str">
        <f t="shared" si="4"/>
        <v>0</v>
      </c>
      <c r="AD26" s="352" t="e">
        <f t="shared" si="17"/>
        <v>#N/A</v>
      </c>
      <c r="AE26" s="352" t="e">
        <f t="shared" si="16"/>
        <v>#N/A</v>
      </c>
      <c r="AF26" s="352" t="e">
        <f t="shared" si="12"/>
        <v>#N/A</v>
      </c>
      <c r="AG26" s="237" t="e">
        <f>IF(AE26="","",VLOOKUP(IF(OR(AND($AV$9=TRUE,$AN$9=D26),AND($AW$9=TRUE,$AO$9=D26),AND($AX$9=TRUE,$AP$9=D26,E26&lt;50),AND($AU$9=TRUE,$AM$9=D26)),AE26,AF26),入力補助!$Z$3:$AA$94,2,FALSE))</f>
        <v>#N/A</v>
      </c>
      <c r="AH26" s="238" t="str">
        <f t="shared" si="5"/>
        <v/>
      </c>
      <c r="AI26" s="237" t="str">
        <f t="shared" si="6"/>
        <v/>
      </c>
      <c r="AJ26" s="239" t="str">
        <f>IFERROR(VLOOKUP(N26,コード表!$B$6:$BJ$3006,MATCH(AD26,コード表!$B$6:$BJ$6,0)),"")</f>
        <v/>
      </c>
    </row>
    <row r="27" spans="1:36" ht="20.399999999999999" customHeight="1">
      <c r="A27" s="384"/>
      <c r="C27" s="420"/>
      <c r="D27" s="418"/>
      <c r="E27" s="442"/>
      <c r="F27" s="420"/>
      <c r="G27" s="294" t="str">
        <f t="shared" si="7"/>
        <v/>
      </c>
      <c r="H27" s="296" t="str">
        <f t="shared" si="13"/>
        <v/>
      </c>
      <c r="I27" s="422"/>
      <c r="J27" s="298" t="str">
        <f t="shared" si="14"/>
        <v/>
      </c>
      <c r="K27" s="420"/>
      <c r="L27" s="300" t="str">
        <f t="shared" si="15"/>
        <v/>
      </c>
      <c r="M27" s="424"/>
      <c r="N27" s="302" t="str">
        <f t="shared" si="0"/>
        <v/>
      </c>
      <c r="O27" s="426"/>
      <c r="P27" s="324" t="str">
        <f>IF(D27="","",IFERROR(VLOOKUP(AD27,入力補助!$U$3:$V$94,2,FALSE),""))</f>
        <v/>
      </c>
      <c r="Q27" s="295" t="str">
        <f t="shared" si="8"/>
        <v/>
      </c>
      <c r="R27" s="428"/>
      <c r="S27" s="304" t="str">
        <f t="shared" si="9"/>
        <v/>
      </c>
      <c r="T27" s="352" t="str">
        <f t="shared" si="10"/>
        <v/>
      </c>
      <c r="U27" s="339" t="str">
        <f t="shared" si="11"/>
        <v/>
      </c>
      <c r="W27" s="352">
        <f t="shared" si="1"/>
        <v>0</v>
      </c>
      <c r="X27" s="352">
        <f t="shared" si="2"/>
        <v>0</v>
      </c>
      <c r="Y27" s="352" t="e">
        <f t="shared" si="3"/>
        <v>#VALUE!</v>
      </c>
      <c r="Z27" s="352" t="e">
        <f>VLOOKUP(D27,入力補助!$C$2:$Q$44,14,FALSE)</f>
        <v>#N/A</v>
      </c>
      <c r="AA27" s="352" t="e">
        <f>VLOOKUP(D27,入力補助!$C$2:$Q$44,15,FALSE)</f>
        <v>#N/A</v>
      </c>
      <c r="AB27" s="352" t="e">
        <f>VLOOKUP(D27,入力補助!$C$2:$R$44,16,FALSE)</f>
        <v>#N/A</v>
      </c>
      <c r="AC27" s="352" t="str">
        <f t="shared" si="4"/>
        <v>0</v>
      </c>
      <c r="AD27" s="352" t="e">
        <f t="shared" si="17"/>
        <v>#N/A</v>
      </c>
      <c r="AE27" s="352" t="e">
        <f t="shared" si="16"/>
        <v>#N/A</v>
      </c>
      <c r="AF27" s="352" t="e">
        <f t="shared" si="12"/>
        <v>#N/A</v>
      </c>
      <c r="AG27" s="237" t="e">
        <f>IF(AE27="","",VLOOKUP(IF(OR(AND($AV$9=TRUE,$AN$9=D27),AND($AW$9=TRUE,$AO$9=D27),AND($AX$9=TRUE,$AP$9=D27,E27&lt;50),AND($AU$9=TRUE,$AM$9=D27)),AE27,AF27),入力補助!$Z$3:$AA$94,2,FALSE))</f>
        <v>#N/A</v>
      </c>
      <c r="AH27" s="238" t="str">
        <f t="shared" si="5"/>
        <v/>
      </c>
      <c r="AI27" s="237" t="str">
        <f t="shared" si="6"/>
        <v/>
      </c>
      <c r="AJ27" s="239" t="str">
        <f>IFERROR(VLOOKUP(N27,コード表!$B$6:$BJ$3006,MATCH(AD27,コード表!$B$6:$BJ$6,0)),"")</f>
        <v/>
      </c>
    </row>
    <row r="28" spans="1:36" ht="20.399999999999999" customHeight="1">
      <c r="A28" s="384"/>
      <c r="C28" s="420"/>
      <c r="D28" s="418"/>
      <c r="E28" s="442"/>
      <c r="F28" s="420"/>
      <c r="G28" s="294" t="str">
        <f t="shared" si="7"/>
        <v/>
      </c>
      <c r="H28" s="296" t="str">
        <f t="shared" si="13"/>
        <v/>
      </c>
      <c r="I28" s="422"/>
      <c r="J28" s="298" t="str">
        <f t="shared" si="14"/>
        <v/>
      </c>
      <c r="K28" s="420"/>
      <c r="L28" s="300" t="str">
        <f t="shared" si="15"/>
        <v/>
      </c>
      <c r="M28" s="424"/>
      <c r="N28" s="302" t="str">
        <f t="shared" si="0"/>
        <v/>
      </c>
      <c r="O28" s="426"/>
      <c r="P28" s="324" t="str">
        <f>IF(D28="","",IFERROR(VLOOKUP(AD28,入力補助!$U$3:$V$94,2,FALSE),""))</f>
        <v/>
      </c>
      <c r="Q28" s="295" t="str">
        <f t="shared" si="8"/>
        <v/>
      </c>
      <c r="R28" s="428"/>
      <c r="S28" s="304" t="str">
        <f t="shared" si="9"/>
        <v/>
      </c>
      <c r="T28" s="352" t="str">
        <f t="shared" si="10"/>
        <v/>
      </c>
      <c r="U28" s="339" t="str">
        <f t="shared" si="11"/>
        <v/>
      </c>
      <c r="W28" s="352">
        <f t="shared" si="1"/>
        <v>0</v>
      </c>
      <c r="X28" s="352">
        <f t="shared" si="2"/>
        <v>0</v>
      </c>
      <c r="Y28" s="352" t="e">
        <f t="shared" si="3"/>
        <v>#VALUE!</v>
      </c>
      <c r="Z28" s="352" t="e">
        <f>VLOOKUP(D28,入力補助!$C$2:$Q$44,14,FALSE)</f>
        <v>#N/A</v>
      </c>
      <c r="AA28" s="352" t="e">
        <f>VLOOKUP(D28,入力補助!$C$2:$Q$44,15,FALSE)</f>
        <v>#N/A</v>
      </c>
      <c r="AB28" s="352" t="e">
        <f>VLOOKUP(D28,入力補助!$C$2:$R$44,16,FALSE)</f>
        <v>#N/A</v>
      </c>
      <c r="AC28" s="352" t="str">
        <f t="shared" si="4"/>
        <v>0</v>
      </c>
      <c r="AD28" s="352" t="e">
        <f t="shared" si="17"/>
        <v>#N/A</v>
      </c>
      <c r="AE28" s="352" t="e">
        <f t="shared" si="16"/>
        <v>#N/A</v>
      </c>
      <c r="AF28" s="352" t="e">
        <f t="shared" si="12"/>
        <v>#N/A</v>
      </c>
      <c r="AG28" s="237" t="e">
        <f>IF(AE28="","",VLOOKUP(IF(OR(AND($AV$9=TRUE,$AN$9=D28),AND($AW$9=TRUE,$AO$9=D28),AND($AX$9=TRUE,$AP$9=D28,E28&lt;50),AND($AU$9=TRUE,$AM$9=D28)),AE28,AF28),入力補助!$Z$3:$AA$94,2,FALSE))</f>
        <v>#N/A</v>
      </c>
      <c r="AH28" s="238" t="str">
        <f t="shared" si="5"/>
        <v/>
      </c>
      <c r="AI28" s="237" t="str">
        <f t="shared" si="6"/>
        <v/>
      </c>
      <c r="AJ28" s="239" t="str">
        <f>IFERROR(VLOOKUP(N28,コード表!$B$6:$BJ$3006,MATCH(AD28,コード表!$B$6:$BJ$6,0)),"")</f>
        <v/>
      </c>
    </row>
    <row r="29" spans="1:36" ht="20.399999999999999" customHeight="1">
      <c r="A29" s="384"/>
      <c r="C29" s="420"/>
      <c r="D29" s="418"/>
      <c r="E29" s="442"/>
      <c r="F29" s="420"/>
      <c r="G29" s="294" t="str">
        <f t="shared" si="7"/>
        <v/>
      </c>
      <c r="H29" s="296" t="str">
        <f t="shared" si="13"/>
        <v/>
      </c>
      <c r="I29" s="422"/>
      <c r="J29" s="298" t="str">
        <f t="shared" si="14"/>
        <v/>
      </c>
      <c r="K29" s="420"/>
      <c r="L29" s="300" t="str">
        <f t="shared" si="15"/>
        <v/>
      </c>
      <c r="M29" s="424"/>
      <c r="N29" s="302" t="str">
        <f t="shared" si="0"/>
        <v/>
      </c>
      <c r="O29" s="426"/>
      <c r="P29" s="324" t="str">
        <f>IF(D29="","",IFERROR(VLOOKUP(AD29,入力補助!$U$3:$V$94,2,FALSE),""))</f>
        <v/>
      </c>
      <c r="Q29" s="295" t="str">
        <f t="shared" si="8"/>
        <v/>
      </c>
      <c r="R29" s="428"/>
      <c r="S29" s="304" t="str">
        <f t="shared" si="9"/>
        <v/>
      </c>
      <c r="T29" s="352" t="str">
        <f t="shared" si="10"/>
        <v/>
      </c>
      <c r="U29" s="339" t="str">
        <f t="shared" si="11"/>
        <v/>
      </c>
      <c r="W29" s="352">
        <f t="shared" si="1"/>
        <v>0</v>
      </c>
      <c r="X29" s="352">
        <f t="shared" si="2"/>
        <v>0</v>
      </c>
      <c r="Y29" s="352" t="e">
        <f t="shared" si="3"/>
        <v>#VALUE!</v>
      </c>
      <c r="Z29" s="352" t="e">
        <f>VLOOKUP(D29,入力補助!$C$2:$Q$44,14,FALSE)</f>
        <v>#N/A</v>
      </c>
      <c r="AA29" s="352" t="e">
        <f>VLOOKUP(D29,入力補助!$C$2:$Q$44,15,FALSE)</f>
        <v>#N/A</v>
      </c>
      <c r="AB29" s="352" t="e">
        <f>VLOOKUP(D29,入力補助!$C$2:$R$44,16,FALSE)</f>
        <v>#N/A</v>
      </c>
      <c r="AC29" s="352" t="str">
        <f t="shared" si="4"/>
        <v>0</v>
      </c>
      <c r="AD29" s="352" t="e">
        <f t="shared" si="17"/>
        <v>#N/A</v>
      </c>
      <c r="AE29" s="352" t="e">
        <f t="shared" si="16"/>
        <v>#N/A</v>
      </c>
      <c r="AF29" s="352" t="e">
        <f t="shared" si="12"/>
        <v>#N/A</v>
      </c>
      <c r="AG29" s="237" t="e">
        <f>IF(AE29="","",VLOOKUP(IF(OR(AND($AV$9=TRUE,$AN$9=D29),AND($AW$9=TRUE,$AO$9=D29),AND($AX$9=TRUE,$AP$9=D29,E29&lt;50),AND($AU$9=TRUE,$AM$9=D29)),AE29,AF29),入力補助!$Z$3:$AA$94,2,FALSE))</f>
        <v>#N/A</v>
      </c>
      <c r="AH29" s="238" t="str">
        <f t="shared" si="5"/>
        <v/>
      </c>
      <c r="AI29" s="237" t="str">
        <f t="shared" si="6"/>
        <v/>
      </c>
      <c r="AJ29" s="239" t="str">
        <f>IFERROR(VLOOKUP(N29,コード表!$B$6:$BJ$3006,MATCH(AD29,コード表!$B$6:$BJ$6,0)),"")</f>
        <v/>
      </c>
    </row>
    <row r="30" spans="1:36" ht="20.399999999999999" customHeight="1">
      <c r="A30" s="384"/>
      <c r="C30" s="420"/>
      <c r="D30" s="418"/>
      <c r="E30" s="442"/>
      <c r="F30" s="420"/>
      <c r="G30" s="294" t="str">
        <f t="shared" si="7"/>
        <v/>
      </c>
      <c r="H30" s="296" t="str">
        <f t="shared" si="13"/>
        <v/>
      </c>
      <c r="I30" s="422"/>
      <c r="J30" s="298" t="str">
        <f t="shared" si="14"/>
        <v/>
      </c>
      <c r="K30" s="420"/>
      <c r="L30" s="300" t="str">
        <f t="shared" si="15"/>
        <v/>
      </c>
      <c r="M30" s="424"/>
      <c r="N30" s="302" t="str">
        <f t="shared" si="0"/>
        <v/>
      </c>
      <c r="O30" s="426"/>
      <c r="P30" s="324" t="str">
        <f>IF(D30="","",IFERROR(VLOOKUP(AD30,入力補助!$U$3:$V$94,2,FALSE),""))</f>
        <v/>
      </c>
      <c r="Q30" s="295" t="str">
        <f t="shared" si="8"/>
        <v/>
      </c>
      <c r="R30" s="428"/>
      <c r="S30" s="304" t="str">
        <f t="shared" si="9"/>
        <v/>
      </c>
      <c r="T30" s="352" t="str">
        <f t="shared" si="10"/>
        <v/>
      </c>
      <c r="U30" s="339" t="str">
        <f t="shared" si="11"/>
        <v/>
      </c>
      <c r="W30" s="352">
        <f t="shared" si="1"/>
        <v>0</v>
      </c>
      <c r="X30" s="352">
        <f t="shared" si="2"/>
        <v>0</v>
      </c>
      <c r="Y30" s="352" t="e">
        <f t="shared" si="3"/>
        <v>#VALUE!</v>
      </c>
      <c r="Z30" s="352" t="e">
        <f>VLOOKUP(D30,入力補助!$C$2:$Q$44,14,FALSE)</f>
        <v>#N/A</v>
      </c>
      <c r="AA30" s="352" t="e">
        <f>VLOOKUP(D30,入力補助!$C$2:$Q$44,15,FALSE)</f>
        <v>#N/A</v>
      </c>
      <c r="AB30" s="352" t="e">
        <f>VLOOKUP(D30,入力補助!$C$2:$R$44,16,FALSE)</f>
        <v>#N/A</v>
      </c>
      <c r="AC30" s="352" t="str">
        <f t="shared" si="4"/>
        <v>0</v>
      </c>
      <c r="AD30" s="352" t="e">
        <f t="shared" si="17"/>
        <v>#N/A</v>
      </c>
      <c r="AE30" s="352" t="e">
        <f t="shared" si="16"/>
        <v>#N/A</v>
      </c>
      <c r="AF30" s="352" t="e">
        <f t="shared" si="12"/>
        <v>#N/A</v>
      </c>
      <c r="AG30" s="237" t="e">
        <f>IF(AE30="","",VLOOKUP(IF(OR(AND($AV$9=TRUE,$AN$9=D30),AND($AW$9=TRUE,$AO$9=D30),AND($AX$9=TRUE,$AP$9=D30,E30&lt;50),AND($AU$9=TRUE,$AM$9=D30)),AE30,AF30),入力補助!$Z$3:$AA$94,2,FALSE))</f>
        <v>#N/A</v>
      </c>
      <c r="AH30" s="238" t="str">
        <f t="shared" si="5"/>
        <v/>
      </c>
      <c r="AI30" s="237" t="str">
        <f t="shared" si="6"/>
        <v/>
      </c>
      <c r="AJ30" s="239" t="str">
        <f>IFERROR(VLOOKUP(N30,コード表!$B$6:$BJ$3006,MATCH(AD30,コード表!$B$6:$BJ$6,0)),"")</f>
        <v/>
      </c>
    </row>
    <row r="31" spans="1:36" ht="20.399999999999999" customHeight="1">
      <c r="A31" s="384"/>
      <c r="C31" s="420"/>
      <c r="D31" s="418"/>
      <c r="E31" s="442"/>
      <c r="F31" s="420"/>
      <c r="G31" s="294" t="str">
        <f t="shared" si="7"/>
        <v/>
      </c>
      <c r="H31" s="296" t="str">
        <f t="shared" si="13"/>
        <v/>
      </c>
      <c r="I31" s="422"/>
      <c r="J31" s="298" t="str">
        <f t="shared" si="14"/>
        <v/>
      </c>
      <c r="K31" s="420"/>
      <c r="L31" s="300" t="str">
        <f t="shared" si="15"/>
        <v/>
      </c>
      <c r="M31" s="424"/>
      <c r="N31" s="302" t="str">
        <f t="shared" si="0"/>
        <v/>
      </c>
      <c r="O31" s="426"/>
      <c r="P31" s="324" t="str">
        <f>IF(D31="","",IFERROR(VLOOKUP(AD31,入力補助!$U$3:$V$94,2,FALSE),""))</f>
        <v/>
      </c>
      <c r="Q31" s="295" t="str">
        <f t="shared" si="8"/>
        <v/>
      </c>
      <c r="R31" s="428"/>
      <c r="S31" s="304" t="str">
        <f t="shared" si="9"/>
        <v/>
      </c>
      <c r="T31" s="352" t="str">
        <f t="shared" si="10"/>
        <v/>
      </c>
      <c r="U31" s="339" t="str">
        <f t="shared" si="11"/>
        <v/>
      </c>
      <c r="W31" s="352">
        <f t="shared" si="1"/>
        <v>0</v>
      </c>
      <c r="X31" s="352">
        <f t="shared" si="2"/>
        <v>0</v>
      </c>
      <c r="Y31" s="352" t="e">
        <f t="shared" si="3"/>
        <v>#VALUE!</v>
      </c>
      <c r="Z31" s="352" t="e">
        <f>VLOOKUP(D31,入力補助!$C$2:$Q$44,14,FALSE)</f>
        <v>#N/A</v>
      </c>
      <c r="AA31" s="352" t="e">
        <f>VLOOKUP(D31,入力補助!$C$2:$Q$44,15,FALSE)</f>
        <v>#N/A</v>
      </c>
      <c r="AB31" s="352" t="e">
        <f>VLOOKUP(D31,入力補助!$C$2:$R$44,16,FALSE)</f>
        <v>#N/A</v>
      </c>
      <c r="AC31" s="352" t="str">
        <f t="shared" si="4"/>
        <v>0</v>
      </c>
      <c r="AD31" s="352" t="e">
        <f t="shared" si="17"/>
        <v>#N/A</v>
      </c>
      <c r="AE31" s="352" t="e">
        <f t="shared" si="16"/>
        <v>#N/A</v>
      </c>
      <c r="AF31" s="352" t="e">
        <f t="shared" si="12"/>
        <v>#N/A</v>
      </c>
      <c r="AG31" s="237" t="e">
        <f>IF(AE31="","",VLOOKUP(IF(OR(AND($AV$9=TRUE,$AN$9=D31),AND($AW$9=TRUE,$AO$9=D31),AND($AX$9=TRUE,$AP$9=D31,E31&lt;50),AND($AU$9=TRUE,$AM$9=D31)),AE31,AF31),入力補助!$Z$3:$AA$94,2,FALSE))</f>
        <v>#N/A</v>
      </c>
      <c r="AH31" s="238" t="str">
        <f t="shared" si="5"/>
        <v/>
      </c>
      <c r="AI31" s="237" t="str">
        <f t="shared" si="6"/>
        <v/>
      </c>
      <c r="AJ31" s="239" t="str">
        <f>IFERROR(VLOOKUP(N31,コード表!$B$6:$BJ$3006,MATCH(AD31,コード表!$B$6:$BJ$6,0)),"")</f>
        <v/>
      </c>
    </row>
    <row r="32" spans="1:36" ht="20.399999999999999" customHeight="1">
      <c r="A32" s="384"/>
      <c r="C32" s="420"/>
      <c r="D32" s="418"/>
      <c r="E32" s="442"/>
      <c r="F32" s="420"/>
      <c r="G32" s="294" t="str">
        <f t="shared" si="7"/>
        <v/>
      </c>
      <c r="H32" s="296" t="str">
        <f t="shared" si="13"/>
        <v/>
      </c>
      <c r="I32" s="422"/>
      <c r="J32" s="298" t="str">
        <f t="shared" si="14"/>
        <v/>
      </c>
      <c r="K32" s="420"/>
      <c r="L32" s="300" t="str">
        <f t="shared" si="15"/>
        <v/>
      </c>
      <c r="M32" s="424"/>
      <c r="N32" s="302" t="str">
        <f t="shared" si="0"/>
        <v/>
      </c>
      <c r="O32" s="426"/>
      <c r="P32" s="324" t="str">
        <f>IF(D32="","",IFERROR(VLOOKUP(AD32,入力補助!$U$3:$V$94,2,FALSE),""))</f>
        <v/>
      </c>
      <c r="Q32" s="295" t="str">
        <f t="shared" si="8"/>
        <v/>
      </c>
      <c r="R32" s="428"/>
      <c r="S32" s="304" t="str">
        <f t="shared" si="9"/>
        <v/>
      </c>
      <c r="T32" s="352" t="str">
        <f t="shared" si="10"/>
        <v/>
      </c>
      <c r="U32" s="339" t="str">
        <f t="shared" si="11"/>
        <v/>
      </c>
      <c r="W32" s="352">
        <f t="shared" si="1"/>
        <v>0</v>
      </c>
      <c r="X32" s="352">
        <f t="shared" si="2"/>
        <v>0</v>
      </c>
      <c r="Y32" s="352" t="e">
        <f t="shared" si="3"/>
        <v>#VALUE!</v>
      </c>
      <c r="Z32" s="352" t="e">
        <f>VLOOKUP(D32,入力補助!$C$2:$Q$44,14,FALSE)</f>
        <v>#N/A</v>
      </c>
      <c r="AA32" s="352" t="e">
        <f>VLOOKUP(D32,入力補助!$C$2:$Q$44,15,FALSE)</f>
        <v>#N/A</v>
      </c>
      <c r="AB32" s="352" t="e">
        <f>VLOOKUP(D32,入力補助!$C$2:$R$44,16,FALSE)</f>
        <v>#N/A</v>
      </c>
      <c r="AC32" s="352" t="str">
        <f t="shared" si="4"/>
        <v>0</v>
      </c>
      <c r="AD32" s="352" t="e">
        <f t="shared" si="17"/>
        <v>#N/A</v>
      </c>
      <c r="AE32" s="352" t="e">
        <f t="shared" si="16"/>
        <v>#N/A</v>
      </c>
      <c r="AF32" s="352" t="e">
        <f t="shared" si="12"/>
        <v>#N/A</v>
      </c>
      <c r="AG32" s="237" t="e">
        <f>IF(AE32="","",VLOOKUP(IF(OR(AND($AV$9=TRUE,$AN$9=D32),AND($AW$9=TRUE,$AO$9=D32),AND($AX$9=TRUE,$AP$9=D32,E32&lt;50),AND($AU$9=TRUE,$AM$9=D32)),AE32,AF32),入力補助!$Z$3:$AA$94,2,FALSE))</f>
        <v>#N/A</v>
      </c>
      <c r="AH32" s="238" t="str">
        <f t="shared" si="5"/>
        <v/>
      </c>
      <c r="AI32" s="237" t="str">
        <f t="shared" si="6"/>
        <v/>
      </c>
      <c r="AJ32" s="239" t="str">
        <f>IFERROR(VLOOKUP(N32,コード表!$B$6:$BJ$3006,MATCH(AD32,コード表!$B$6:$BJ$6,0)),"")</f>
        <v/>
      </c>
    </row>
    <row r="33" spans="1:36" ht="20.399999999999999" customHeight="1">
      <c r="A33" s="384"/>
      <c r="C33" s="420"/>
      <c r="D33" s="418"/>
      <c r="E33" s="442"/>
      <c r="F33" s="420"/>
      <c r="G33" s="294" t="str">
        <f t="shared" si="7"/>
        <v/>
      </c>
      <c r="H33" s="296" t="str">
        <f t="shared" si="13"/>
        <v/>
      </c>
      <c r="I33" s="422"/>
      <c r="J33" s="298" t="str">
        <f t="shared" si="14"/>
        <v/>
      </c>
      <c r="K33" s="420"/>
      <c r="L33" s="300" t="str">
        <f t="shared" si="15"/>
        <v/>
      </c>
      <c r="M33" s="424"/>
      <c r="N33" s="302" t="str">
        <f t="shared" si="0"/>
        <v/>
      </c>
      <c r="O33" s="426"/>
      <c r="P33" s="324" t="str">
        <f>IF(D33="","",IFERROR(VLOOKUP(AD33,入力補助!$U$3:$V$94,2,FALSE),""))</f>
        <v/>
      </c>
      <c r="Q33" s="295" t="str">
        <f t="shared" si="8"/>
        <v/>
      </c>
      <c r="R33" s="428"/>
      <c r="S33" s="304" t="str">
        <f t="shared" si="9"/>
        <v/>
      </c>
      <c r="T33" s="352" t="str">
        <f t="shared" si="10"/>
        <v/>
      </c>
      <c r="U33" s="339" t="str">
        <f t="shared" si="11"/>
        <v/>
      </c>
      <c r="W33" s="352">
        <f t="shared" si="1"/>
        <v>0</v>
      </c>
      <c r="X33" s="352">
        <f t="shared" si="2"/>
        <v>0</v>
      </c>
      <c r="Y33" s="352" t="e">
        <f t="shared" si="3"/>
        <v>#VALUE!</v>
      </c>
      <c r="Z33" s="352" t="e">
        <f>VLOOKUP(D33,入力補助!$C$2:$Q$44,14,FALSE)</f>
        <v>#N/A</v>
      </c>
      <c r="AA33" s="352" t="e">
        <f>VLOOKUP(D33,入力補助!$C$2:$Q$44,15,FALSE)</f>
        <v>#N/A</v>
      </c>
      <c r="AB33" s="352" t="e">
        <f>VLOOKUP(D33,入力補助!$C$2:$R$44,16,FALSE)</f>
        <v>#N/A</v>
      </c>
      <c r="AC33" s="352" t="str">
        <f t="shared" si="4"/>
        <v>0</v>
      </c>
      <c r="AD33" s="352" t="e">
        <f t="shared" si="17"/>
        <v>#N/A</v>
      </c>
      <c r="AE33" s="352" t="e">
        <f t="shared" si="16"/>
        <v>#N/A</v>
      </c>
      <c r="AF33" s="352" t="e">
        <f t="shared" si="12"/>
        <v>#N/A</v>
      </c>
      <c r="AG33" s="237" t="e">
        <f>IF(AE33="","",VLOOKUP(IF(OR(AND($AV$9=TRUE,$AN$9=D33),AND($AW$9=TRUE,$AO$9=D33),AND($AX$9=TRUE,$AP$9=D33,E33&lt;50),AND($AU$9=TRUE,$AM$9=D33)),AE33,AF33),入力補助!$Z$3:$AA$94,2,FALSE))</f>
        <v>#N/A</v>
      </c>
      <c r="AH33" s="238" t="str">
        <f t="shared" si="5"/>
        <v/>
      </c>
      <c r="AI33" s="237" t="str">
        <f t="shared" si="6"/>
        <v/>
      </c>
      <c r="AJ33" s="239" t="str">
        <f>IFERROR(VLOOKUP(N33,コード表!$B$6:$BJ$3006,MATCH(AD33,コード表!$B$6:$BJ$6,0)),"")</f>
        <v/>
      </c>
    </row>
    <row r="34" spans="1:36" ht="20.399999999999999" customHeight="1">
      <c r="A34" s="384"/>
      <c r="C34" s="420"/>
      <c r="D34" s="418"/>
      <c r="E34" s="442"/>
      <c r="F34" s="420"/>
      <c r="G34" s="294" t="str">
        <f t="shared" si="7"/>
        <v/>
      </c>
      <c r="H34" s="296" t="str">
        <f t="shared" si="13"/>
        <v/>
      </c>
      <c r="I34" s="422"/>
      <c r="J34" s="298" t="str">
        <f t="shared" si="14"/>
        <v/>
      </c>
      <c r="K34" s="420"/>
      <c r="L34" s="300" t="str">
        <f t="shared" si="15"/>
        <v/>
      </c>
      <c r="M34" s="424"/>
      <c r="N34" s="302" t="str">
        <f t="shared" si="0"/>
        <v/>
      </c>
      <c r="O34" s="426"/>
      <c r="P34" s="324" t="str">
        <f>IF(D34="","",IFERROR(VLOOKUP(AD34,入力補助!$U$3:$V$94,2,FALSE),""))</f>
        <v/>
      </c>
      <c r="Q34" s="295" t="str">
        <f t="shared" si="8"/>
        <v/>
      </c>
      <c r="R34" s="428"/>
      <c r="S34" s="304" t="str">
        <f t="shared" si="9"/>
        <v/>
      </c>
      <c r="T34" s="352" t="str">
        <f t="shared" si="10"/>
        <v/>
      </c>
      <c r="U34" s="339" t="str">
        <f t="shared" si="11"/>
        <v/>
      </c>
      <c r="W34" s="352">
        <f t="shared" si="1"/>
        <v>0</v>
      </c>
      <c r="X34" s="352">
        <f t="shared" si="2"/>
        <v>0</v>
      </c>
      <c r="Y34" s="352" t="e">
        <f t="shared" si="3"/>
        <v>#VALUE!</v>
      </c>
      <c r="Z34" s="352" t="e">
        <f>VLOOKUP(D34,入力補助!$C$2:$Q$44,14,FALSE)</f>
        <v>#N/A</v>
      </c>
      <c r="AA34" s="352" t="e">
        <f>VLOOKUP(D34,入力補助!$C$2:$Q$44,15,FALSE)</f>
        <v>#N/A</v>
      </c>
      <c r="AB34" s="352" t="e">
        <f>VLOOKUP(D34,入力補助!$C$2:$R$44,16,FALSE)</f>
        <v>#N/A</v>
      </c>
      <c r="AC34" s="352" t="str">
        <f t="shared" si="4"/>
        <v>0</v>
      </c>
      <c r="AD34" s="352" t="e">
        <f t="shared" si="17"/>
        <v>#N/A</v>
      </c>
      <c r="AE34" s="352" t="e">
        <f t="shared" si="16"/>
        <v>#N/A</v>
      </c>
      <c r="AF34" s="352" t="e">
        <f t="shared" si="12"/>
        <v>#N/A</v>
      </c>
      <c r="AG34" s="237" t="e">
        <f>IF(AE34="","",VLOOKUP(IF(OR(AND($AV$9=TRUE,$AN$9=D34),AND($AW$9=TRUE,$AO$9=D34),AND($AX$9=TRUE,$AP$9=D34,E34&lt;50),AND($AU$9=TRUE,$AM$9=D34)),AE34,AF34),入力補助!$Z$3:$AA$94,2,FALSE))</f>
        <v>#N/A</v>
      </c>
      <c r="AH34" s="238" t="str">
        <f t="shared" si="5"/>
        <v/>
      </c>
      <c r="AI34" s="237" t="str">
        <f t="shared" si="6"/>
        <v/>
      </c>
      <c r="AJ34" s="239" t="str">
        <f>IFERROR(VLOOKUP(N34,コード表!$B$6:$BJ$3006,MATCH(AD34,コード表!$B$6:$BJ$6,0)),"")</f>
        <v/>
      </c>
    </row>
    <row r="35" spans="1:36" ht="20.399999999999999" customHeight="1">
      <c r="A35" s="384"/>
      <c r="C35" s="420"/>
      <c r="D35" s="418"/>
      <c r="E35" s="442"/>
      <c r="F35" s="420"/>
      <c r="G35" s="294" t="str">
        <f t="shared" si="7"/>
        <v/>
      </c>
      <c r="H35" s="296" t="str">
        <f t="shared" si="13"/>
        <v/>
      </c>
      <c r="I35" s="422"/>
      <c r="J35" s="298" t="str">
        <f t="shared" si="14"/>
        <v/>
      </c>
      <c r="K35" s="420"/>
      <c r="L35" s="300" t="str">
        <f t="shared" si="15"/>
        <v/>
      </c>
      <c r="M35" s="424"/>
      <c r="N35" s="302" t="str">
        <f t="shared" si="0"/>
        <v/>
      </c>
      <c r="O35" s="426"/>
      <c r="P35" s="324" t="str">
        <f>IF(D35="","",IFERROR(VLOOKUP(AD35,入力補助!$U$3:$V$94,2,FALSE),""))</f>
        <v/>
      </c>
      <c r="Q35" s="295" t="str">
        <f t="shared" si="8"/>
        <v/>
      </c>
      <c r="R35" s="428"/>
      <c r="S35" s="304" t="str">
        <f t="shared" si="9"/>
        <v/>
      </c>
      <c r="T35" s="352" t="str">
        <f t="shared" si="10"/>
        <v/>
      </c>
      <c r="U35" s="339" t="str">
        <f t="shared" si="11"/>
        <v/>
      </c>
      <c r="W35" s="352">
        <f t="shared" si="1"/>
        <v>0</v>
      </c>
      <c r="X35" s="352">
        <f t="shared" si="2"/>
        <v>0</v>
      </c>
      <c r="Y35" s="352" t="e">
        <f t="shared" si="3"/>
        <v>#VALUE!</v>
      </c>
      <c r="Z35" s="352" t="e">
        <f>VLOOKUP(D35,入力補助!$C$2:$Q$44,14,FALSE)</f>
        <v>#N/A</v>
      </c>
      <c r="AA35" s="352" t="e">
        <f>VLOOKUP(D35,入力補助!$C$2:$Q$44,15,FALSE)</f>
        <v>#N/A</v>
      </c>
      <c r="AB35" s="352" t="e">
        <f>VLOOKUP(D35,入力補助!$C$2:$R$44,16,FALSE)</f>
        <v>#N/A</v>
      </c>
      <c r="AC35" s="352" t="str">
        <f t="shared" si="4"/>
        <v>0</v>
      </c>
      <c r="AD35" s="352" t="e">
        <f t="shared" si="17"/>
        <v>#N/A</v>
      </c>
      <c r="AE35" s="352" t="e">
        <f t="shared" si="16"/>
        <v>#N/A</v>
      </c>
      <c r="AF35" s="352" t="e">
        <f t="shared" si="12"/>
        <v>#N/A</v>
      </c>
      <c r="AG35" s="237" t="e">
        <f>IF(AE35="","",VLOOKUP(IF(OR(AND($AV$9=TRUE,$AN$9=D35),AND($AW$9=TRUE,$AO$9=D35),AND($AX$9=TRUE,$AP$9=D35,E35&lt;50),AND($AU$9=TRUE,$AM$9=D35)),AE35,AF35),入力補助!$Z$3:$AA$94,2,FALSE))</f>
        <v>#N/A</v>
      </c>
      <c r="AH35" s="238" t="str">
        <f t="shared" si="5"/>
        <v/>
      </c>
      <c r="AI35" s="237" t="str">
        <f t="shared" si="6"/>
        <v/>
      </c>
      <c r="AJ35" s="239" t="str">
        <f>IFERROR(VLOOKUP(N35,コード表!$B$6:$BJ$3006,MATCH(AD35,コード表!$B$6:$BJ$6,0)),"")</f>
        <v/>
      </c>
    </row>
    <row r="36" spans="1:36" ht="20.399999999999999" customHeight="1">
      <c r="A36" s="384"/>
      <c r="C36" s="420"/>
      <c r="D36" s="418"/>
      <c r="E36" s="442"/>
      <c r="F36" s="420"/>
      <c r="G36" s="294" t="str">
        <f t="shared" si="7"/>
        <v/>
      </c>
      <c r="H36" s="296" t="str">
        <f t="shared" si="13"/>
        <v/>
      </c>
      <c r="I36" s="422"/>
      <c r="J36" s="298" t="str">
        <f t="shared" si="14"/>
        <v/>
      </c>
      <c r="K36" s="420"/>
      <c r="L36" s="300" t="str">
        <f t="shared" si="15"/>
        <v/>
      </c>
      <c r="M36" s="424"/>
      <c r="N36" s="302" t="str">
        <f t="shared" si="0"/>
        <v/>
      </c>
      <c r="O36" s="426"/>
      <c r="P36" s="324" t="str">
        <f>IF(D36="","",IFERROR(VLOOKUP(AD36,入力補助!$U$3:$V$94,2,FALSE),""))</f>
        <v/>
      </c>
      <c r="Q36" s="295" t="str">
        <f t="shared" si="8"/>
        <v/>
      </c>
      <c r="R36" s="428"/>
      <c r="S36" s="304" t="str">
        <f t="shared" si="9"/>
        <v/>
      </c>
      <c r="T36" s="352" t="str">
        <f t="shared" si="10"/>
        <v/>
      </c>
      <c r="U36" s="339" t="str">
        <f t="shared" si="11"/>
        <v/>
      </c>
      <c r="W36" s="352">
        <f t="shared" si="1"/>
        <v>0</v>
      </c>
      <c r="X36" s="352">
        <f t="shared" si="2"/>
        <v>0</v>
      </c>
      <c r="Y36" s="352" t="e">
        <f t="shared" si="3"/>
        <v>#VALUE!</v>
      </c>
      <c r="Z36" s="352" t="e">
        <f>VLOOKUP(D36,入力補助!$C$2:$Q$44,14,FALSE)</f>
        <v>#N/A</v>
      </c>
      <c r="AA36" s="352" t="e">
        <f>VLOOKUP(D36,入力補助!$C$2:$Q$44,15,FALSE)</f>
        <v>#N/A</v>
      </c>
      <c r="AB36" s="352" t="e">
        <f>VLOOKUP(D36,入力補助!$C$2:$R$44,16,FALSE)</f>
        <v>#N/A</v>
      </c>
      <c r="AC36" s="352" t="str">
        <f t="shared" si="4"/>
        <v>0</v>
      </c>
      <c r="AD36" s="352" t="e">
        <f t="shared" si="17"/>
        <v>#N/A</v>
      </c>
      <c r="AE36" s="352" t="e">
        <f t="shared" si="16"/>
        <v>#N/A</v>
      </c>
      <c r="AF36" s="352" t="e">
        <f t="shared" si="12"/>
        <v>#N/A</v>
      </c>
      <c r="AG36" s="237" t="e">
        <f>IF(AE36="","",VLOOKUP(IF(OR(AND($AV$9=TRUE,$AN$9=D36),AND($AW$9=TRUE,$AO$9=D36),AND($AX$9=TRUE,$AP$9=D36,E36&lt;50),AND($AU$9=TRUE,$AM$9=D36)),AE36,AF36),入力補助!$Z$3:$AA$94,2,FALSE))</f>
        <v>#N/A</v>
      </c>
      <c r="AH36" s="238" t="str">
        <f t="shared" si="5"/>
        <v/>
      </c>
      <c r="AI36" s="237" t="str">
        <f t="shared" si="6"/>
        <v/>
      </c>
      <c r="AJ36" s="239" t="str">
        <f>IFERROR(VLOOKUP(N36,コード表!$B$6:$BJ$3006,MATCH(AD36,コード表!$B$6:$BJ$6,0)),"")</f>
        <v/>
      </c>
    </row>
    <row r="37" spans="1:36" ht="20.399999999999999" customHeight="1">
      <c r="A37" s="384"/>
      <c r="C37" s="420"/>
      <c r="D37" s="418"/>
      <c r="E37" s="442"/>
      <c r="F37" s="420"/>
      <c r="G37" s="294" t="str">
        <f t="shared" si="7"/>
        <v/>
      </c>
      <c r="H37" s="296" t="str">
        <f t="shared" si="13"/>
        <v/>
      </c>
      <c r="I37" s="422"/>
      <c r="J37" s="298" t="str">
        <f t="shared" si="14"/>
        <v/>
      </c>
      <c r="K37" s="420"/>
      <c r="L37" s="300" t="str">
        <f t="shared" si="15"/>
        <v/>
      </c>
      <c r="M37" s="424"/>
      <c r="N37" s="302" t="str">
        <f t="shared" si="0"/>
        <v/>
      </c>
      <c r="O37" s="426"/>
      <c r="P37" s="324" t="str">
        <f>IF(D37="","",IFERROR(VLOOKUP(AD37,入力補助!$U$3:$V$94,2,FALSE),""))</f>
        <v/>
      </c>
      <c r="Q37" s="295" t="str">
        <f t="shared" si="8"/>
        <v/>
      </c>
      <c r="R37" s="428"/>
      <c r="S37" s="304" t="str">
        <f t="shared" si="9"/>
        <v/>
      </c>
      <c r="T37" s="352" t="str">
        <f t="shared" si="10"/>
        <v/>
      </c>
      <c r="U37" s="339" t="str">
        <f t="shared" si="11"/>
        <v/>
      </c>
      <c r="W37" s="352">
        <f t="shared" si="1"/>
        <v>0</v>
      </c>
      <c r="X37" s="352">
        <f t="shared" si="2"/>
        <v>0</v>
      </c>
      <c r="Y37" s="352" t="e">
        <f t="shared" si="3"/>
        <v>#VALUE!</v>
      </c>
      <c r="Z37" s="352" t="e">
        <f>VLOOKUP(D37,入力補助!$C$2:$Q$44,14,FALSE)</f>
        <v>#N/A</v>
      </c>
      <c r="AA37" s="352" t="e">
        <f>VLOOKUP(D37,入力補助!$C$2:$Q$44,15,FALSE)</f>
        <v>#N/A</v>
      </c>
      <c r="AB37" s="352" t="e">
        <f>VLOOKUP(D37,入力補助!$C$2:$R$44,16,FALSE)</f>
        <v>#N/A</v>
      </c>
      <c r="AC37" s="352" t="str">
        <f t="shared" si="4"/>
        <v>0</v>
      </c>
      <c r="AD37" s="352" t="e">
        <f t="shared" si="17"/>
        <v>#N/A</v>
      </c>
      <c r="AE37" s="352" t="e">
        <f t="shared" si="16"/>
        <v>#N/A</v>
      </c>
      <c r="AF37" s="352" t="e">
        <f t="shared" si="12"/>
        <v>#N/A</v>
      </c>
      <c r="AG37" s="237" t="e">
        <f>IF(AE37="","",VLOOKUP(IF(OR(AND($AV$9=TRUE,$AN$9=D37),AND($AW$9=TRUE,$AO$9=D37),AND($AX$9=TRUE,$AP$9=D37,E37&lt;50),AND($AU$9=TRUE,$AM$9=D37)),AE37,AF37),入力補助!$Z$3:$AA$94,2,FALSE))</f>
        <v>#N/A</v>
      </c>
      <c r="AH37" s="238" t="str">
        <f t="shared" si="5"/>
        <v/>
      </c>
      <c r="AI37" s="237" t="str">
        <f t="shared" si="6"/>
        <v/>
      </c>
      <c r="AJ37" s="239" t="str">
        <f>IFERROR(VLOOKUP(N37,コード表!$B$6:$BJ$3006,MATCH(AD37,コード表!$B$6:$BJ$6,0)),"")</f>
        <v/>
      </c>
    </row>
    <row r="38" spans="1:36" ht="20.399999999999999" customHeight="1">
      <c r="A38" s="384"/>
      <c r="C38" s="420"/>
      <c r="D38" s="418"/>
      <c r="E38" s="442"/>
      <c r="F38" s="420"/>
      <c r="G38" s="294" t="str">
        <f t="shared" si="7"/>
        <v/>
      </c>
      <c r="H38" s="296" t="str">
        <f t="shared" si="13"/>
        <v/>
      </c>
      <c r="I38" s="422"/>
      <c r="J38" s="298" t="str">
        <f t="shared" si="14"/>
        <v/>
      </c>
      <c r="K38" s="420"/>
      <c r="L38" s="300" t="str">
        <f t="shared" si="15"/>
        <v/>
      </c>
      <c r="M38" s="424"/>
      <c r="N38" s="302" t="str">
        <f t="shared" si="0"/>
        <v/>
      </c>
      <c r="O38" s="426"/>
      <c r="P38" s="324" t="str">
        <f>IF(D38="","",IFERROR(VLOOKUP(AD38,入力補助!$U$3:$V$94,2,FALSE),""))</f>
        <v/>
      </c>
      <c r="Q38" s="295" t="str">
        <f t="shared" si="8"/>
        <v/>
      </c>
      <c r="R38" s="428"/>
      <c r="S38" s="304" t="str">
        <f t="shared" si="9"/>
        <v/>
      </c>
      <c r="T38" s="352" t="str">
        <f t="shared" si="10"/>
        <v/>
      </c>
      <c r="U38" s="339" t="str">
        <f t="shared" si="11"/>
        <v/>
      </c>
      <c r="W38" s="352">
        <f t="shared" si="1"/>
        <v>0</v>
      </c>
      <c r="X38" s="352">
        <f t="shared" si="2"/>
        <v>0</v>
      </c>
      <c r="Y38" s="352" t="e">
        <f t="shared" si="3"/>
        <v>#VALUE!</v>
      </c>
      <c r="Z38" s="352" t="e">
        <f>VLOOKUP(D38,入力補助!$C$2:$Q$44,14,FALSE)</f>
        <v>#N/A</v>
      </c>
      <c r="AA38" s="352" t="e">
        <f>VLOOKUP(D38,入力補助!$C$2:$Q$44,15,FALSE)</f>
        <v>#N/A</v>
      </c>
      <c r="AB38" s="352" t="e">
        <f>VLOOKUP(D38,入力補助!$C$2:$R$44,16,FALSE)</f>
        <v>#N/A</v>
      </c>
      <c r="AC38" s="352" t="str">
        <f t="shared" si="4"/>
        <v>0</v>
      </c>
      <c r="AD38" s="352" t="e">
        <f t="shared" si="17"/>
        <v>#N/A</v>
      </c>
      <c r="AE38" s="352" t="e">
        <f t="shared" si="16"/>
        <v>#N/A</v>
      </c>
      <c r="AF38" s="352" t="e">
        <f t="shared" si="12"/>
        <v>#N/A</v>
      </c>
      <c r="AG38" s="237" t="e">
        <f>IF(AE38="","",VLOOKUP(IF(OR(AND($AV$9=TRUE,$AN$9=D38),AND($AW$9=TRUE,$AO$9=D38),AND($AX$9=TRUE,$AP$9=D38,E38&lt;50),AND($AU$9=TRUE,$AM$9=D38)),AE38,AF38),入力補助!$Z$3:$AA$94,2,FALSE))</f>
        <v>#N/A</v>
      </c>
      <c r="AH38" s="238" t="str">
        <f t="shared" si="5"/>
        <v/>
      </c>
      <c r="AI38" s="237" t="str">
        <f t="shared" si="6"/>
        <v/>
      </c>
      <c r="AJ38" s="239" t="str">
        <f>IFERROR(VLOOKUP(N38,コード表!$B$6:$BJ$3006,MATCH(AD38,コード表!$B$6:$BJ$6,0)),"")</f>
        <v/>
      </c>
    </row>
    <row r="39" spans="1:36" ht="20.399999999999999" customHeight="1">
      <c r="A39" s="384"/>
      <c r="C39" s="420"/>
      <c r="D39" s="418"/>
      <c r="E39" s="442"/>
      <c r="F39" s="420"/>
      <c r="G39" s="294" t="str">
        <f t="shared" si="7"/>
        <v/>
      </c>
      <c r="H39" s="296" t="str">
        <f t="shared" si="13"/>
        <v/>
      </c>
      <c r="I39" s="422"/>
      <c r="J39" s="298" t="str">
        <f t="shared" si="14"/>
        <v/>
      </c>
      <c r="K39" s="420"/>
      <c r="L39" s="300" t="str">
        <f t="shared" si="15"/>
        <v/>
      </c>
      <c r="M39" s="424"/>
      <c r="N39" s="302" t="str">
        <f t="shared" si="0"/>
        <v/>
      </c>
      <c r="O39" s="426"/>
      <c r="P39" s="324" t="str">
        <f>IF(D39="","",IFERROR(VLOOKUP(AD39,入力補助!$U$3:$V$94,2,FALSE),""))</f>
        <v/>
      </c>
      <c r="Q39" s="295" t="str">
        <f t="shared" si="8"/>
        <v/>
      </c>
      <c r="R39" s="428"/>
      <c r="S39" s="304" t="str">
        <f t="shared" si="9"/>
        <v/>
      </c>
      <c r="T39" s="352" t="str">
        <f t="shared" si="10"/>
        <v/>
      </c>
      <c r="U39" s="339" t="str">
        <f t="shared" si="11"/>
        <v/>
      </c>
      <c r="W39" s="352">
        <f t="shared" si="1"/>
        <v>0</v>
      </c>
      <c r="X39" s="352">
        <f t="shared" si="2"/>
        <v>0</v>
      </c>
      <c r="Y39" s="352" t="e">
        <f t="shared" si="3"/>
        <v>#VALUE!</v>
      </c>
      <c r="Z39" s="352" t="e">
        <f>VLOOKUP(D39,入力補助!$C$2:$Q$44,14,FALSE)</f>
        <v>#N/A</v>
      </c>
      <c r="AA39" s="352" t="e">
        <f>VLOOKUP(D39,入力補助!$C$2:$Q$44,15,FALSE)</f>
        <v>#N/A</v>
      </c>
      <c r="AB39" s="352" t="e">
        <f>VLOOKUP(D39,入力補助!$C$2:$R$44,16,FALSE)</f>
        <v>#N/A</v>
      </c>
      <c r="AC39" s="352" t="str">
        <f t="shared" si="4"/>
        <v>0</v>
      </c>
      <c r="AD39" s="352" t="e">
        <f t="shared" si="17"/>
        <v>#N/A</v>
      </c>
      <c r="AE39" s="352" t="e">
        <f t="shared" si="16"/>
        <v>#N/A</v>
      </c>
      <c r="AF39" s="352" t="e">
        <f t="shared" si="12"/>
        <v>#N/A</v>
      </c>
      <c r="AG39" s="237" t="e">
        <f>IF(AE39="","",VLOOKUP(IF(OR(AND($AV$9=TRUE,$AN$9=D39),AND($AW$9=TRUE,$AO$9=D39),AND($AX$9=TRUE,$AP$9=D39,E39&lt;50),AND($AU$9=TRUE,$AM$9=D39)),AE39,AF39),入力補助!$Z$3:$AA$94,2,FALSE))</f>
        <v>#N/A</v>
      </c>
      <c r="AH39" s="238" t="str">
        <f t="shared" si="5"/>
        <v/>
      </c>
      <c r="AI39" s="237" t="str">
        <f t="shared" si="6"/>
        <v/>
      </c>
      <c r="AJ39" s="239" t="str">
        <f>IFERROR(VLOOKUP(N39,コード表!$B$6:$BJ$3006,MATCH(AD39,コード表!$B$6:$BJ$6,0)),"")</f>
        <v/>
      </c>
    </row>
    <row r="40" spans="1:36" ht="20.399999999999999" customHeight="1">
      <c r="A40" s="384"/>
      <c r="C40" s="420"/>
      <c r="D40" s="418"/>
      <c r="E40" s="442"/>
      <c r="F40" s="420"/>
      <c r="G40" s="294" t="str">
        <f t="shared" si="7"/>
        <v/>
      </c>
      <c r="H40" s="296" t="str">
        <f t="shared" si="13"/>
        <v/>
      </c>
      <c r="I40" s="422"/>
      <c r="J40" s="298" t="str">
        <f t="shared" si="14"/>
        <v/>
      </c>
      <c r="K40" s="420"/>
      <c r="L40" s="300" t="str">
        <f t="shared" si="15"/>
        <v/>
      </c>
      <c r="M40" s="424"/>
      <c r="N40" s="302" t="str">
        <f t="shared" si="0"/>
        <v/>
      </c>
      <c r="O40" s="426"/>
      <c r="P40" s="324" t="str">
        <f>IF(D40="","",IFERROR(VLOOKUP(AD40,入力補助!$U$3:$V$94,2,FALSE),""))</f>
        <v/>
      </c>
      <c r="Q40" s="295" t="str">
        <f t="shared" si="8"/>
        <v/>
      </c>
      <c r="R40" s="428"/>
      <c r="S40" s="304" t="str">
        <f t="shared" si="9"/>
        <v/>
      </c>
      <c r="T40" s="352" t="str">
        <f t="shared" si="10"/>
        <v/>
      </c>
      <c r="U40" s="339" t="str">
        <f t="shared" si="11"/>
        <v/>
      </c>
      <c r="W40" s="352">
        <f t="shared" si="1"/>
        <v>0</v>
      </c>
      <c r="X40" s="352">
        <f t="shared" si="2"/>
        <v>0</v>
      </c>
      <c r="Y40" s="352" t="e">
        <f t="shared" si="3"/>
        <v>#VALUE!</v>
      </c>
      <c r="Z40" s="352" t="e">
        <f>VLOOKUP(D40,入力補助!$C$2:$Q$44,14,FALSE)</f>
        <v>#N/A</v>
      </c>
      <c r="AA40" s="352" t="e">
        <f>VLOOKUP(D40,入力補助!$C$2:$Q$44,15,FALSE)</f>
        <v>#N/A</v>
      </c>
      <c r="AB40" s="352" t="e">
        <f>VLOOKUP(D40,入力補助!$C$2:$R$44,16,FALSE)</f>
        <v>#N/A</v>
      </c>
      <c r="AC40" s="352" t="str">
        <f t="shared" si="4"/>
        <v>0</v>
      </c>
      <c r="AD40" s="352" t="e">
        <f t="shared" si="17"/>
        <v>#N/A</v>
      </c>
      <c r="AE40" s="352" t="e">
        <f t="shared" si="16"/>
        <v>#N/A</v>
      </c>
      <c r="AF40" s="352" t="e">
        <f t="shared" si="12"/>
        <v>#N/A</v>
      </c>
      <c r="AG40" s="237" t="e">
        <f>IF(AE40="","",VLOOKUP(IF(OR(AND($AV$9=TRUE,$AN$9=D40),AND($AW$9=TRUE,$AO$9=D40),AND($AX$9=TRUE,$AP$9=D40,E40&lt;50),AND($AU$9=TRUE,$AM$9=D40)),AE40,AF40),入力補助!$Z$3:$AA$94,2,FALSE))</f>
        <v>#N/A</v>
      </c>
      <c r="AH40" s="238" t="str">
        <f t="shared" si="5"/>
        <v/>
      </c>
      <c r="AI40" s="237" t="str">
        <f t="shared" si="6"/>
        <v/>
      </c>
      <c r="AJ40" s="239" t="str">
        <f>IFERROR(VLOOKUP(N40,コード表!$B$6:$BJ$3006,MATCH(AD40,コード表!$B$6:$BJ$6,0)),"")</f>
        <v/>
      </c>
    </row>
    <row r="41" spans="1:36" ht="20.399999999999999" customHeight="1">
      <c r="A41" s="384"/>
      <c r="C41" s="420"/>
      <c r="D41" s="418"/>
      <c r="E41" s="442"/>
      <c r="F41" s="420"/>
      <c r="G41" s="294" t="str">
        <f t="shared" si="7"/>
        <v/>
      </c>
      <c r="H41" s="296" t="str">
        <f t="shared" si="13"/>
        <v/>
      </c>
      <c r="I41" s="422"/>
      <c r="J41" s="298" t="str">
        <f t="shared" si="14"/>
        <v/>
      </c>
      <c r="K41" s="420"/>
      <c r="L41" s="300" t="str">
        <f t="shared" si="15"/>
        <v/>
      </c>
      <c r="M41" s="424"/>
      <c r="N41" s="302" t="str">
        <f t="shared" si="0"/>
        <v/>
      </c>
      <c r="O41" s="426"/>
      <c r="P41" s="324" t="str">
        <f>IF(D41="","",IFERROR(VLOOKUP(AD41,入力補助!$U$3:$V$94,2,FALSE),""))</f>
        <v/>
      </c>
      <c r="Q41" s="295" t="str">
        <f t="shared" si="8"/>
        <v/>
      </c>
      <c r="R41" s="428"/>
      <c r="S41" s="304" t="str">
        <f t="shared" si="9"/>
        <v/>
      </c>
      <c r="T41" s="352" t="str">
        <f t="shared" si="10"/>
        <v/>
      </c>
      <c r="U41" s="339" t="str">
        <f t="shared" si="11"/>
        <v/>
      </c>
      <c r="W41" s="352">
        <f t="shared" si="1"/>
        <v>0</v>
      </c>
      <c r="X41" s="352">
        <f t="shared" si="2"/>
        <v>0</v>
      </c>
      <c r="Y41" s="352" t="e">
        <f t="shared" si="3"/>
        <v>#VALUE!</v>
      </c>
      <c r="Z41" s="352" t="e">
        <f>VLOOKUP(D41,入力補助!$C$2:$Q$44,14,FALSE)</f>
        <v>#N/A</v>
      </c>
      <c r="AA41" s="352" t="e">
        <f>VLOOKUP(D41,入力補助!$C$2:$Q$44,15,FALSE)</f>
        <v>#N/A</v>
      </c>
      <c r="AB41" s="352" t="e">
        <f>VLOOKUP(D41,入力補助!$C$2:$R$44,16,FALSE)</f>
        <v>#N/A</v>
      </c>
      <c r="AC41" s="352" t="str">
        <f t="shared" si="4"/>
        <v>0</v>
      </c>
      <c r="AD41" s="352" t="e">
        <f t="shared" si="17"/>
        <v>#N/A</v>
      </c>
      <c r="AE41" s="352" t="e">
        <f t="shared" si="16"/>
        <v>#N/A</v>
      </c>
      <c r="AF41" s="352" t="e">
        <f t="shared" si="12"/>
        <v>#N/A</v>
      </c>
      <c r="AG41" s="237" t="e">
        <f>IF(AE41="","",VLOOKUP(IF(OR(AND($AV$9=TRUE,$AN$9=D41),AND($AW$9=TRUE,$AO$9=D41),AND($AX$9=TRUE,$AP$9=D41,E41&lt;50),AND($AU$9=TRUE,$AM$9=D41)),AE41,AF41),入力補助!$Z$3:$AA$94,2,FALSE))</f>
        <v>#N/A</v>
      </c>
      <c r="AH41" s="238" t="str">
        <f t="shared" si="5"/>
        <v/>
      </c>
      <c r="AI41" s="237" t="str">
        <f t="shared" si="6"/>
        <v/>
      </c>
      <c r="AJ41" s="239" t="str">
        <f>IFERROR(VLOOKUP(N41,コード表!$B$6:$BJ$3006,MATCH(AD41,コード表!$B$6:$BJ$6,0)),"")</f>
        <v/>
      </c>
    </row>
    <row r="42" spans="1:36" ht="20.399999999999999" customHeight="1">
      <c r="A42" s="384"/>
      <c r="C42" s="420"/>
      <c r="D42" s="418"/>
      <c r="E42" s="442"/>
      <c r="F42" s="420"/>
      <c r="G42" s="294" t="str">
        <f t="shared" si="7"/>
        <v/>
      </c>
      <c r="H42" s="296" t="str">
        <f t="shared" si="13"/>
        <v/>
      </c>
      <c r="I42" s="422"/>
      <c r="J42" s="298" t="str">
        <f t="shared" si="14"/>
        <v/>
      </c>
      <c r="K42" s="420"/>
      <c r="L42" s="300" t="str">
        <f t="shared" si="15"/>
        <v/>
      </c>
      <c r="M42" s="424"/>
      <c r="N42" s="302" t="str">
        <f t="shared" si="0"/>
        <v/>
      </c>
      <c r="O42" s="426"/>
      <c r="P42" s="324" t="str">
        <f>IF(D42="","",IFERROR(VLOOKUP(AD42,入力補助!$U$3:$V$94,2,FALSE),""))</f>
        <v/>
      </c>
      <c r="Q42" s="295" t="str">
        <f t="shared" si="8"/>
        <v/>
      </c>
      <c r="R42" s="428"/>
      <c r="S42" s="304" t="str">
        <f t="shared" si="9"/>
        <v/>
      </c>
      <c r="T42" s="352" t="str">
        <f t="shared" si="10"/>
        <v/>
      </c>
      <c r="U42" s="339" t="str">
        <f t="shared" si="11"/>
        <v/>
      </c>
      <c r="W42" s="352">
        <f t="shared" si="1"/>
        <v>0</v>
      </c>
      <c r="X42" s="352">
        <f t="shared" si="2"/>
        <v>0</v>
      </c>
      <c r="Y42" s="352" t="e">
        <f t="shared" si="3"/>
        <v>#VALUE!</v>
      </c>
      <c r="Z42" s="352" t="e">
        <f>VLOOKUP(D42,入力補助!$C$2:$Q$44,14,FALSE)</f>
        <v>#N/A</v>
      </c>
      <c r="AA42" s="352" t="e">
        <f>VLOOKUP(D42,入力補助!$C$2:$Q$44,15,FALSE)</f>
        <v>#N/A</v>
      </c>
      <c r="AB42" s="352" t="e">
        <f>VLOOKUP(D42,入力補助!$C$2:$R$44,16,FALSE)</f>
        <v>#N/A</v>
      </c>
      <c r="AC42" s="352" t="str">
        <f t="shared" si="4"/>
        <v>0</v>
      </c>
      <c r="AD42" s="352" t="e">
        <f t="shared" si="17"/>
        <v>#N/A</v>
      </c>
      <c r="AE42" s="352" t="e">
        <f t="shared" si="16"/>
        <v>#N/A</v>
      </c>
      <c r="AF42" s="352" t="e">
        <f t="shared" si="12"/>
        <v>#N/A</v>
      </c>
      <c r="AG42" s="237" t="e">
        <f>IF(AE42="","",VLOOKUP(IF(OR(AND($AV$9=TRUE,$AN$9=D42),AND($AW$9=TRUE,$AO$9=D42),AND($AX$9=TRUE,$AP$9=D42,E42&lt;50),AND($AU$9=TRUE,$AM$9=D42)),AE42,AF42),入力補助!$Z$3:$AA$94,2,FALSE))</f>
        <v>#N/A</v>
      </c>
      <c r="AH42" s="238" t="str">
        <f t="shared" si="5"/>
        <v/>
      </c>
      <c r="AI42" s="237" t="str">
        <f t="shared" si="6"/>
        <v/>
      </c>
      <c r="AJ42" s="239" t="str">
        <f>IFERROR(VLOOKUP(N42,コード表!$B$6:$BJ$3006,MATCH(AD42,コード表!$B$6:$BJ$6,0)),"")</f>
        <v/>
      </c>
    </row>
    <row r="43" spans="1:36" ht="20.399999999999999" customHeight="1">
      <c r="A43" s="384"/>
      <c r="C43" s="420"/>
      <c r="D43" s="418"/>
      <c r="E43" s="442"/>
      <c r="F43" s="420"/>
      <c r="G43" s="294" t="str">
        <f t="shared" si="7"/>
        <v/>
      </c>
      <c r="H43" s="296" t="str">
        <f t="shared" si="13"/>
        <v/>
      </c>
      <c r="I43" s="422"/>
      <c r="J43" s="298" t="str">
        <f t="shared" si="14"/>
        <v/>
      </c>
      <c r="K43" s="420"/>
      <c r="L43" s="300" t="str">
        <f t="shared" si="15"/>
        <v/>
      </c>
      <c r="M43" s="424"/>
      <c r="N43" s="302" t="str">
        <f t="shared" si="0"/>
        <v/>
      </c>
      <c r="O43" s="426"/>
      <c r="P43" s="324" t="str">
        <f>IF(D43="","",IFERROR(VLOOKUP(AD43,入力補助!$U$3:$V$94,2,FALSE),""))</f>
        <v/>
      </c>
      <c r="Q43" s="295" t="str">
        <f t="shared" si="8"/>
        <v/>
      </c>
      <c r="R43" s="428"/>
      <c r="S43" s="304" t="str">
        <f t="shared" si="9"/>
        <v/>
      </c>
      <c r="T43" s="352" t="str">
        <f t="shared" si="10"/>
        <v/>
      </c>
      <c r="U43" s="339" t="str">
        <f t="shared" si="11"/>
        <v/>
      </c>
      <c r="W43" s="352">
        <f t="shared" si="1"/>
        <v>0</v>
      </c>
      <c r="X43" s="352">
        <f t="shared" si="2"/>
        <v>0</v>
      </c>
      <c r="Y43" s="352" t="e">
        <f t="shared" si="3"/>
        <v>#VALUE!</v>
      </c>
      <c r="Z43" s="352" t="e">
        <f>VLOOKUP(D43,入力補助!$C$2:$Q$44,14,FALSE)</f>
        <v>#N/A</v>
      </c>
      <c r="AA43" s="352" t="e">
        <f>VLOOKUP(D43,入力補助!$C$2:$Q$44,15,FALSE)</f>
        <v>#N/A</v>
      </c>
      <c r="AB43" s="352" t="e">
        <f>VLOOKUP(D43,入力補助!$C$2:$R$44,16,FALSE)</f>
        <v>#N/A</v>
      </c>
      <c r="AC43" s="352" t="str">
        <f t="shared" si="4"/>
        <v>0</v>
      </c>
      <c r="AD43" s="352" t="e">
        <f t="shared" si="17"/>
        <v>#N/A</v>
      </c>
      <c r="AE43" s="352" t="e">
        <f t="shared" si="16"/>
        <v>#N/A</v>
      </c>
      <c r="AF43" s="352" t="e">
        <f t="shared" si="12"/>
        <v>#N/A</v>
      </c>
      <c r="AG43" s="237" t="e">
        <f>IF(AE43="","",VLOOKUP(IF(OR(AND($AV$9=TRUE,$AN$9=D43),AND($AW$9=TRUE,$AO$9=D43),AND($AX$9=TRUE,$AP$9=D43,E43&lt;50),AND($AU$9=TRUE,$AM$9=D43)),AE43,AF43),入力補助!$Z$3:$AA$94,2,FALSE))</f>
        <v>#N/A</v>
      </c>
      <c r="AH43" s="238" t="str">
        <f t="shared" si="5"/>
        <v/>
      </c>
      <c r="AI43" s="237" t="str">
        <f t="shared" si="6"/>
        <v/>
      </c>
      <c r="AJ43" s="239" t="str">
        <f>IFERROR(VLOOKUP(N43,コード表!$B$6:$BJ$3006,MATCH(AD43,コード表!$B$6:$BJ$6,0)),"")</f>
        <v/>
      </c>
    </row>
    <row r="44" spans="1:36" ht="20.399999999999999" customHeight="1">
      <c r="A44" s="384"/>
      <c r="C44" s="420"/>
      <c r="D44" s="418"/>
      <c r="E44" s="442"/>
      <c r="F44" s="420"/>
      <c r="G44" s="294" t="str">
        <f>IF(D44="","",IF(F44="",G43,W44*6+IF(X44=0,0,IF(X44=1,1,IF(X44&lt;5,2,IF(X44&lt;11,3,IF(X44&lt;16,4,IF(X44&lt;21,5,IF(X44&lt;30,6,0)))))))))</f>
        <v/>
      </c>
      <c r="H44" s="296" t="str">
        <f t="shared" si="13"/>
        <v/>
      </c>
      <c r="I44" s="422"/>
      <c r="J44" s="298" t="str">
        <f>IF(D44="","",IF(I44="",J43,IF(I44&lt;10,ROUND(42*(I44^0.33)/60,1),IF(I44&lt;600,ROUND(19*(I44^0.67)/60,1),ROUND(2.8*(I44^0.97)/60,1)))))</f>
        <v/>
      </c>
      <c r="K44" s="420"/>
      <c r="L44" s="300" t="str">
        <f t="shared" si="15"/>
        <v/>
      </c>
      <c r="M44" s="424"/>
      <c r="N44" s="302" t="str">
        <f t="shared" si="0"/>
        <v/>
      </c>
      <c r="O44" s="426"/>
      <c r="P44" s="324" t="str">
        <f>IF(D44="","",IFERROR(VLOOKUP(AD44,入力補助!$U$3:$V$94,2,FALSE),""))</f>
        <v/>
      </c>
      <c r="Q44" s="295" t="str">
        <f t="shared" si="8"/>
        <v/>
      </c>
      <c r="R44" s="428"/>
      <c r="S44" s="304" t="str">
        <f>IF(D44="","",IF(ISNUMBER(R44)=TRUE,R44,IF(ISNUMBER(AJ44)=TRUE,ROUND(AJ44,2),IF(ISNUMBER(P44)=TRUE,ROUND(P44*Q44/1000,2),ROUND(O44*Q44/1000,2)))))</f>
        <v/>
      </c>
      <c r="T44" s="352" t="str">
        <f>IF(D44="SUS","S",IF(D44="VSP","V",IF(D44="COP","C","")))</f>
        <v/>
      </c>
      <c r="U44" s="339" t="str">
        <f t="shared" si="11"/>
        <v/>
      </c>
      <c r="W44" s="352">
        <f t="shared" si="1"/>
        <v>0</v>
      </c>
      <c r="X44" s="352">
        <f t="shared" si="2"/>
        <v>0</v>
      </c>
      <c r="Y44" s="352" t="e">
        <f t="shared" si="3"/>
        <v>#VALUE!</v>
      </c>
      <c r="Z44" s="352" t="e">
        <f>VLOOKUP(D44,入力補助!$C$2:$Q$44,14,FALSE)</f>
        <v>#N/A</v>
      </c>
      <c r="AA44" s="352" t="e">
        <f>VLOOKUP(D44,入力補助!$C$2:$Q$44,15,FALSE)</f>
        <v>#N/A</v>
      </c>
      <c r="AB44" s="352" t="e">
        <f>VLOOKUP(D44,入力補助!$C$2:$R$44,16,FALSE)</f>
        <v>#N/A</v>
      </c>
      <c r="AC44" s="352" t="str">
        <f t="shared" si="4"/>
        <v>0</v>
      </c>
      <c r="AD44" s="352" t="e">
        <f t="shared" si="17"/>
        <v>#N/A</v>
      </c>
      <c r="AE44" s="352" t="e">
        <f t="shared" si="16"/>
        <v>#N/A</v>
      </c>
      <c r="AF44" s="352" t="e">
        <f t="shared" si="12"/>
        <v>#N/A</v>
      </c>
      <c r="AG44" s="237" t="e">
        <f>IF(AE44="","",VLOOKUP(IF(OR(AND($AV$9=TRUE,$AN$9=D44),AND($AW$9=TRUE,$AO$9=D44),AND($AX$9=TRUE,$AP$9=D44,E44&lt;50),AND($AU$9=TRUE,$AM$9=D44)),AE44,AF44),入力補助!$Z$3:$AA$94,2,FALSE))</f>
        <v>#N/A</v>
      </c>
      <c r="AH44" s="238" t="str">
        <f t="shared" si="5"/>
        <v/>
      </c>
      <c r="AI44" s="237" t="str">
        <f t="shared" si="6"/>
        <v/>
      </c>
      <c r="AJ44" s="239" t="str">
        <f>IFERROR(VLOOKUP(N44,コード表!$B$6:$BJ$3006,MATCH(AD44,コード表!$B$6:$BJ$6,0)),"")</f>
        <v/>
      </c>
    </row>
    <row r="45" spans="1:36" ht="20.399999999999999" customHeight="1">
      <c r="A45" s="384"/>
      <c r="C45" s="420"/>
      <c r="D45" s="418"/>
      <c r="E45" s="442"/>
      <c r="F45" s="420"/>
      <c r="G45" s="294" t="str">
        <f>IF(D45="","",IF(F45="",G44,W45*6+IF(X45=0,0,IF(X45=1,1,IF(X45&lt;5,2,IF(X45&lt;11,3,IF(X45&lt;16,4,IF(X45&lt;21,5,IF(X45&lt;30,6,0)))))))))</f>
        <v/>
      </c>
      <c r="H45" s="296" t="str">
        <f t="shared" si="13"/>
        <v/>
      </c>
      <c r="I45" s="422"/>
      <c r="J45" s="298" t="str">
        <f>IF(D45="","",IF(I45="",J44,IF(I45&lt;10,ROUND(42*(I45^0.33)/60,1),IF(I45&lt;600,ROUND(19*(I45^0.67)/60,1),ROUND(2.8*(I45^0.97)/60,1)))))</f>
        <v/>
      </c>
      <c r="K45" s="420"/>
      <c r="L45" s="300" t="str">
        <f t="shared" si="15"/>
        <v/>
      </c>
      <c r="M45" s="424"/>
      <c r="N45" s="302" t="str">
        <f t="shared" si="0"/>
        <v/>
      </c>
      <c r="O45" s="426"/>
      <c r="P45" s="324" t="str">
        <f>IF(D45="","",IFERROR(VLOOKUP(AD45,入力補助!$U$3:$V$94,2,FALSE),""))</f>
        <v/>
      </c>
      <c r="Q45" s="295" t="str">
        <f t="shared" si="8"/>
        <v/>
      </c>
      <c r="R45" s="428"/>
      <c r="S45" s="304" t="str">
        <f>IF(D45="","",IF(ISNUMBER(R45)=TRUE,R45,IF(ISNUMBER(AJ45)=TRUE,ROUND(AJ45,2),IF(ISNUMBER(P45)=TRUE,ROUND(P45*Q45/1000,2),ROUND(O45*Q45/1000,2)))))</f>
        <v/>
      </c>
      <c r="T45" s="352" t="str">
        <f>IF(D45="SUS","S",IF(D45="VSP","V",IF(D45="COP","C","")))</f>
        <v/>
      </c>
      <c r="U45" s="339" t="str">
        <f t="shared" si="11"/>
        <v/>
      </c>
      <c r="W45" s="352">
        <f t="shared" si="1"/>
        <v>0</v>
      </c>
      <c r="X45" s="352">
        <f t="shared" si="2"/>
        <v>0</v>
      </c>
      <c r="Y45" s="352" t="e">
        <f t="shared" si="3"/>
        <v>#VALUE!</v>
      </c>
      <c r="Z45" s="352" t="e">
        <f>VLOOKUP(D45,入力補助!$C$2:$Q$44,14,FALSE)</f>
        <v>#N/A</v>
      </c>
      <c r="AA45" s="352" t="e">
        <f>VLOOKUP(D45,入力補助!$C$2:$Q$44,15,FALSE)</f>
        <v>#N/A</v>
      </c>
      <c r="AB45" s="352" t="e">
        <f>VLOOKUP(D45,入力補助!$C$2:$R$44,16,FALSE)</f>
        <v>#N/A</v>
      </c>
      <c r="AC45" s="352" t="str">
        <f t="shared" si="4"/>
        <v>0</v>
      </c>
      <c r="AD45" s="352" t="e">
        <f t="shared" si="17"/>
        <v>#N/A</v>
      </c>
      <c r="AE45" s="352" t="e">
        <f t="shared" si="16"/>
        <v>#N/A</v>
      </c>
      <c r="AF45" s="352" t="e">
        <f t="shared" si="12"/>
        <v>#N/A</v>
      </c>
      <c r="AG45" s="237" t="e">
        <f>IF(AE45="","",VLOOKUP(IF(OR(AND($AV$9=TRUE,$AN$9=D45),AND($AW$9=TRUE,$AO$9=D45),AND($AX$9=TRUE,$AP$9=D45,E45&lt;50),AND($AU$9=TRUE,$AM$9=D45)),AE45,AF45),入力補助!$Z$3:$AA$94,2,FALSE))</f>
        <v>#N/A</v>
      </c>
      <c r="AH45" s="238" t="str">
        <f t="shared" si="5"/>
        <v/>
      </c>
      <c r="AI45" s="237" t="str">
        <f t="shared" si="6"/>
        <v/>
      </c>
      <c r="AJ45" s="239" t="str">
        <f>IFERROR(VLOOKUP(N45,コード表!$B$6:$BJ$3006,MATCH(AD45,コード表!$B$6:$BJ$6,0)),"")</f>
        <v/>
      </c>
    </row>
    <row r="46" spans="1:36" ht="20.399999999999999" customHeight="1">
      <c r="A46" s="384"/>
      <c r="C46" s="420"/>
      <c r="D46" s="418"/>
      <c r="E46" s="442"/>
      <c r="F46" s="420"/>
      <c r="G46" s="294" t="str">
        <f t="shared" si="7"/>
        <v/>
      </c>
      <c r="H46" s="296" t="str">
        <f t="shared" si="13"/>
        <v/>
      </c>
      <c r="I46" s="422"/>
      <c r="J46" s="298" t="str">
        <f t="shared" si="14"/>
        <v/>
      </c>
      <c r="K46" s="420"/>
      <c r="L46" s="300" t="str">
        <f t="shared" si="15"/>
        <v/>
      </c>
      <c r="M46" s="424"/>
      <c r="N46" s="302" t="str">
        <f t="shared" si="0"/>
        <v/>
      </c>
      <c r="O46" s="426"/>
      <c r="P46" s="324" t="str">
        <f>IF(D46="","",IFERROR(VLOOKUP(AD46,入力補助!$U$3:$V$94,2,FALSE),""))</f>
        <v/>
      </c>
      <c r="Q46" s="295" t="str">
        <f t="shared" si="8"/>
        <v/>
      </c>
      <c r="R46" s="428"/>
      <c r="S46" s="304" t="str">
        <f t="shared" si="9"/>
        <v/>
      </c>
      <c r="T46" s="352" t="str">
        <f t="shared" si="10"/>
        <v/>
      </c>
      <c r="U46" s="339" t="str">
        <f t="shared" si="11"/>
        <v/>
      </c>
      <c r="W46" s="352">
        <f t="shared" si="1"/>
        <v>0</v>
      </c>
      <c r="X46" s="352">
        <f t="shared" si="2"/>
        <v>0</v>
      </c>
      <c r="Y46" s="352" t="e">
        <f t="shared" si="3"/>
        <v>#VALUE!</v>
      </c>
      <c r="Z46" s="352" t="e">
        <f>VLOOKUP(D46,入力補助!$C$2:$Q$44,14,FALSE)</f>
        <v>#N/A</v>
      </c>
      <c r="AA46" s="352" t="e">
        <f>VLOOKUP(D46,入力補助!$C$2:$Q$44,15,FALSE)</f>
        <v>#N/A</v>
      </c>
      <c r="AB46" s="352" t="e">
        <f>VLOOKUP(D46,入力補助!$C$2:$R$44,16,FALSE)</f>
        <v>#N/A</v>
      </c>
      <c r="AC46" s="352" t="str">
        <f t="shared" si="4"/>
        <v>0</v>
      </c>
      <c r="AD46" s="352" t="e">
        <f t="shared" si="17"/>
        <v>#N/A</v>
      </c>
      <c r="AE46" s="352" t="e">
        <f t="shared" si="16"/>
        <v>#N/A</v>
      </c>
      <c r="AF46" s="352" t="e">
        <f t="shared" si="12"/>
        <v>#N/A</v>
      </c>
      <c r="AG46" s="237" t="e">
        <f>IF(AE46="","",VLOOKUP(IF(OR(AND($AV$9=TRUE,$AN$9=D46),AND($AW$9=TRUE,$AO$9=D46),AND($AX$9=TRUE,$AP$9=D46,E46&lt;50),AND($AU$9=TRUE,$AM$9=D46)),AE46,AF46),入力補助!$Z$3:$AA$94,2,FALSE))</f>
        <v>#N/A</v>
      </c>
      <c r="AH46" s="238" t="str">
        <f t="shared" si="5"/>
        <v/>
      </c>
      <c r="AI46" s="237" t="str">
        <f t="shared" si="6"/>
        <v/>
      </c>
      <c r="AJ46" s="239" t="str">
        <f>IFERROR(VLOOKUP(N46,コード表!$B$6:$BJ$3006,MATCH(AD46,コード表!$B$6:$BJ$6,0)),"")</f>
        <v/>
      </c>
    </row>
    <row r="47" spans="1:36" ht="20.399999999999999" customHeight="1">
      <c r="A47" s="384"/>
      <c r="C47" s="420"/>
      <c r="D47" s="433"/>
      <c r="E47" s="442"/>
      <c r="F47" s="420"/>
      <c r="G47" s="294" t="str">
        <f t="shared" si="7"/>
        <v/>
      </c>
      <c r="H47" s="296" t="str">
        <f t="shared" si="13"/>
        <v/>
      </c>
      <c r="I47" s="422"/>
      <c r="J47" s="298" t="str">
        <f t="shared" si="14"/>
        <v/>
      </c>
      <c r="K47" s="420"/>
      <c r="L47" s="300" t="str">
        <f t="shared" si="15"/>
        <v/>
      </c>
      <c r="M47" s="424"/>
      <c r="N47" s="302" t="str">
        <f t="shared" si="0"/>
        <v/>
      </c>
      <c r="O47" s="426"/>
      <c r="P47" s="324" t="str">
        <f>IF(D47="","",IFERROR(VLOOKUP(AD47,入力補助!$U$3:$V$94,2,FALSE),""))</f>
        <v/>
      </c>
      <c r="Q47" s="295" t="str">
        <f t="shared" si="8"/>
        <v/>
      </c>
      <c r="R47" s="428"/>
      <c r="S47" s="304" t="str">
        <f t="shared" si="9"/>
        <v/>
      </c>
      <c r="T47" s="352" t="str">
        <f t="shared" si="10"/>
        <v/>
      </c>
      <c r="U47" s="339" t="str">
        <f t="shared" si="11"/>
        <v/>
      </c>
      <c r="W47" s="352">
        <f t="shared" si="1"/>
        <v>0</v>
      </c>
      <c r="X47" s="352">
        <f t="shared" si="2"/>
        <v>0</v>
      </c>
      <c r="Y47" s="352" t="e">
        <f t="shared" si="3"/>
        <v>#VALUE!</v>
      </c>
      <c r="Z47" s="352" t="e">
        <f>VLOOKUP(D47,入力補助!$C$2:$Q$44,14,FALSE)</f>
        <v>#N/A</v>
      </c>
      <c r="AA47" s="352" t="e">
        <f>VLOOKUP(D47,入力補助!$C$2:$Q$44,15,FALSE)</f>
        <v>#N/A</v>
      </c>
      <c r="AB47" s="352" t="e">
        <f>VLOOKUP(D47,入力補助!$C$2:$R$44,16,FALSE)</f>
        <v>#N/A</v>
      </c>
      <c r="AC47" s="352" t="str">
        <f t="shared" si="4"/>
        <v>0</v>
      </c>
      <c r="AD47" s="352" t="e">
        <f t="shared" si="17"/>
        <v>#N/A</v>
      </c>
      <c r="AE47" s="352" t="e">
        <f t="shared" si="16"/>
        <v>#N/A</v>
      </c>
      <c r="AF47" s="352" t="e">
        <f t="shared" si="12"/>
        <v>#N/A</v>
      </c>
      <c r="AG47" s="237" t="e">
        <f>IF(AE47="","",VLOOKUP(IF(OR(AND($AV$9=TRUE,$AN$9=D47),AND($AW$9=TRUE,$AO$9=D47),AND($AX$9=TRUE,$AP$9=D47,E47&lt;50),AND($AU$9=TRUE,$AM$9=D47)),AE47,AF47),入力補助!$Z$3:$AA$94,2,FALSE))</f>
        <v>#N/A</v>
      </c>
      <c r="AH47" s="238" t="str">
        <f t="shared" si="5"/>
        <v/>
      </c>
      <c r="AI47" s="237" t="str">
        <f t="shared" si="6"/>
        <v/>
      </c>
      <c r="AJ47" s="239" t="str">
        <f>IFERROR(VLOOKUP(N47,コード表!$B$6:$BJ$3006,MATCH(AD47,コード表!$B$6:$BJ$6,0)),"")</f>
        <v/>
      </c>
    </row>
    <row r="48" spans="1:36" ht="20.399999999999999" customHeight="1">
      <c r="A48" s="384"/>
      <c r="C48" s="420"/>
      <c r="D48" s="418"/>
      <c r="E48" s="442"/>
      <c r="F48" s="420"/>
      <c r="G48" s="294" t="str">
        <f t="shared" si="7"/>
        <v/>
      </c>
      <c r="H48" s="296" t="str">
        <f t="shared" si="13"/>
        <v/>
      </c>
      <c r="I48" s="422"/>
      <c r="J48" s="298" t="str">
        <f t="shared" si="14"/>
        <v/>
      </c>
      <c r="K48" s="420"/>
      <c r="L48" s="300" t="str">
        <f t="shared" si="15"/>
        <v/>
      </c>
      <c r="M48" s="424"/>
      <c r="N48" s="302" t="str">
        <f t="shared" si="0"/>
        <v/>
      </c>
      <c r="O48" s="426"/>
      <c r="P48" s="324" t="str">
        <f>IF(D48="","",IFERROR(VLOOKUP(AD48,入力補助!$U$3:$V$94,2,FALSE),""))</f>
        <v/>
      </c>
      <c r="Q48" s="295" t="str">
        <f t="shared" si="8"/>
        <v/>
      </c>
      <c r="R48" s="428"/>
      <c r="S48" s="304" t="str">
        <f t="shared" si="9"/>
        <v/>
      </c>
      <c r="T48" s="352" t="str">
        <f t="shared" si="10"/>
        <v/>
      </c>
      <c r="U48" s="339" t="str">
        <f t="shared" si="11"/>
        <v/>
      </c>
      <c r="W48" s="352">
        <f t="shared" si="1"/>
        <v>0</v>
      </c>
      <c r="X48" s="352">
        <f t="shared" si="2"/>
        <v>0</v>
      </c>
      <c r="Y48" s="352" t="e">
        <f t="shared" si="3"/>
        <v>#VALUE!</v>
      </c>
      <c r="Z48" s="352" t="e">
        <f>VLOOKUP(D48,入力補助!$C$2:$Q$44,14,FALSE)</f>
        <v>#N/A</v>
      </c>
      <c r="AA48" s="352" t="e">
        <f>VLOOKUP(D48,入力補助!$C$2:$Q$44,15,FALSE)</f>
        <v>#N/A</v>
      </c>
      <c r="AB48" s="352" t="e">
        <f>VLOOKUP(D48,入力補助!$C$2:$R$44,16,FALSE)</f>
        <v>#N/A</v>
      </c>
      <c r="AC48" s="352" t="str">
        <f t="shared" si="4"/>
        <v>0</v>
      </c>
      <c r="AD48" s="352" t="e">
        <f t="shared" si="17"/>
        <v>#N/A</v>
      </c>
      <c r="AE48" s="352" t="e">
        <f t="shared" si="16"/>
        <v>#N/A</v>
      </c>
      <c r="AF48" s="352" t="e">
        <f t="shared" si="12"/>
        <v>#N/A</v>
      </c>
      <c r="AG48" s="237" t="e">
        <f>IF(AE48="","",VLOOKUP(IF(OR(AND($AV$9=TRUE,$AN$9=D48),AND($AW$9=TRUE,$AO$9=D48),AND($AX$9=TRUE,$AP$9=D48,E48&lt;50),AND($AU$9=TRUE,$AM$9=D48)),AE48,AF48),入力補助!$Z$3:$AA$94,2,FALSE))</f>
        <v>#N/A</v>
      </c>
      <c r="AH48" s="238" t="str">
        <f t="shared" si="5"/>
        <v/>
      </c>
      <c r="AI48" s="237" t="str">
        <f t="shared" si="6"/>
        <v/>
      </c>
      <c r="AJ48" s="239" t="str">
        <f>IFERROR(VLOOKUP(N48,コード表!$B$6:$BJ$3006,MATCH(AD48,コード表!$B$6:$BJ$6,0)),"")</f>
        <v/>
      </c>
    </row>
    <row r="49" spans="1:36" ht="20.399999999999999" customHeight="1">
      <c r="A49" s="384"/>
      <c r="C49" s="420"/>
      <c r="D49" s="418"/>
      <c r="E49" s="442"/>
      <c r="F49" s="420"/>
      <c r="G49" s="294" t="str">
        <f t="shared" si="7"/>
        <v/>
      </c>
      <c r="H49" s="296" t="str">
        <f t="shared" si="13"/>
        <v/>
      </c>
      <c r="I49" s="422"/>
      <c r="J49" s="298" t="str">
        <f t="shared" si="14"/>
        <v/>
      </c>
      <c r="K49" s="420"/>
      <c r="L49" s="300" t="str">
        <f t="shared" si="15"/>
        <v/>
      </c>
      <c r="M49" s="424"/>
      <c r="N49" s="302" t="str">
        <f t="shared" si="0"/>
        <v/>
      </c>
      <c r="O49" s="426"/>
      <c r="P49" s="324" t="str">
        <f>IF(D49="","",IFERROR(VLOOKUP(AD49,入力補助!$U$3:$V$94,2,FALSE),""))</f>
        <v/>
      </c>
      <c r="Q49" s="295" t="str">
        <f t="shared" si="8"/>
        <v/>
      </c>
      <c r="R49" s="428"/>
      <c r="S49" s="304" t="str">
        <f t="shared" si="9"/>
        <v/>
      </c>
      <c r="T49" s="352" t="str">
        <f t="shared" si="10"/>
        <v/>
      </c>
      <c r="U49" s="339" t="str">
        <f t="shared" si="11"/>
        <v/>
      </c>
      <c r="W49" s="352">
        <f t="shared" si="1"/>
        <v>0</v>
      </c>
      <c r="X49" s="352">
        <f t="shared" si="2"/>
        <v>0</v>
      </c>
      <c r="Y49" s="352" t="e">
        <f t="shared" si="3"/>
        <v>#VALUE!</v>
      </c>
      <c r="Z49" s="352" t="e">
        <f>VLOOKUP(D49,入力補助!$C$2:$Q$44,14,FALSE)</f>
        <v>#N/A</v>
      </c>
      <c r="AA49" s="352" t="e">
        <f>VLOOKUP(D49,入力補助!$C$2:$Q$44,15,FALSE)</f>
        <v>#N/A</v>
      </c>
      <c r="AB49" s="352" t="e">
        <f>VLOOKUP(D49,入力補助!$C$2:$R$44,16,FALSE)</f>
        <v>#N/A</v>
      </c>
      <c r="AC49" s="352" t="str">
        <f t="shared" si="4"/>
        <v>0</v>
      </c>
      <c r="AD49" s="352" t="e">
        <f t="shared" si="17"/>
        <v>#N/A</v>
      </c>
      <c r="AE49" s="352" t="e">
        <f t="shared" si="16"/>
        <v>#N/A</v>
      </c>
      <c r="AF49" s="352" t="e">
        <f t="shared" si="12"/>
        <v>#N/A</v>
      </c>
      <c r="AG49" s="237" t="e">
        <f>IF(AE49="","",VLOOKUP(IF(OR(AND($AV$9=TRUE,$AN$9=D49),AND($AW$9=TRUE,$AO$9=D49),AND($AX$9=TRUE,$AP$9=D49,E49&lt;50),AND($AU$9=TRUE,$AM$9=D49)),AE49,AF49),入力補助!$Z$3:$AA$94,2,FALSE))</f>
        <v>#N/A</v>
      </c>
      <c r="AH49" s="238" t="str">
        <f t="shared" si="5"/>
        <v/>
      </c>
      <c r="AI49" s="237" t="str">
        <f t="shared" si="6"/>
        <v/>
      </c>
      <c r="AJ49" s="239" t="str">
        <f>IFERROR(VLOOKUP(N49,コード表!$B$6:$BJ$3006,MATCH(AD49,コード表!$B$6:$BJ$6,0)),"")</f>
        <v/>
      </c>
    </row>
    <row r="50" spans="1:36" ht="20.399999999999999" customHeight="1">
      <c r="A50" s="384"/>
      <c r="C50" s="420"/>
      <c r="D50" s="418"/>
      <c r="E50" s="442"/>
      <c r="F50" s="420"/>
      <c r="G50" s="294" t="str">
        <f t="shared" si="7"/>
        <v/>
      </c>
      <c r="H50" s="296" t="str">
        <f t="shared" si="13"/>
        <v/>
      </c>
      <c r="I50" s="422"/>
      <c r="J50" s="298" t="str">
        <f t="shared" si="14"/>
        <v/>
      </c>
      <c r="K50" s="420"/>
      <c r="L50" s="300" t="str">
        <f t="shared" si="15"/>
        <v/>
      </c>
      <c r="M50" s="424"/>
      <c r="N50" s="302" t="str">
        <f t="shared" si="0"/>
        <v/>
      </c>
      <c r="O50" s="426"/>
      <c r="P50" s="324" t="str">
        <f>IF(D50="","",IFERROR(VLOOKUP(AD50,入力補助!$U$3:$V$94,2,FALSE),""))</f>
        <v/>
      </c>
      <c r="Q50" s="295" t="str">
        <f t="shared" si="8"/>
        <v/>
      </c>
      <c r="R50" s="428"/>
      <c r="S50" s="304" t="str">
        <f t="shared" si="9"/>
        <v/>
      </c>
      <c r="T50" s="352" t="str">
        <f t="shared" si="10"/>
        <v/>
      </c>
      <c r="U50" s="339" t="str">
        <f t="shared" si="11"/>
        <v/>
      </c>
      <c r="W50" s="352">
        <f t="shared" si="1"/>
        <v>0</v>
      </c>
      <c r="X50" s="352">
        <f t="shared" si="2"/>
        <v>0</v>
      </c>
      <c r="Y50" s="352" t="e">
        <f t="shared" si="3"/>
        <v>#VALUE!</v>
      </c>
      <c r="Z50" s="352" t="e">
        <f>VLOOKUP(D50,入力補助!$C$2:$Q$44,14,FALSE)</f>
        <v>#N/A</v>
      </c>
      <c r="AA50" s="352" t="e">
        <f>VLOOKUP(D50,入力補助!$C$2:$Q$44,15,FALSE)</f>
        <v>#N/A</v>
      </c>
      <c r="AB50" s="352" t="e">
        <f>VLOOKUP(D50,入力補助!$C$2:$R$44,16,FALSE)</f>
        <v>#N/A</v>
      </c>
      <c r="AC50" s="352" t="str">
        <f t="shared" si="4"/>
        <v>0</v>
      </c>
      <c r="AD50" s="352" t="e">
        <f t="shared" si="17"/>
        <v>#N/A</v>
      </c>
      <c r="AE50" s="352" t="e">
        <f t="shared" si="16"/>
        <v>#N/A</v>
      </c>
      <c r="AF50" s="352" t="e">
        <f t="shared" si="12"/>
        <v>#N/A</v>
      </c>
      <c r="AG50" s="237" t="e">
        <f>IF(AE50="","",VLOOKUP(IF(OR(AND($AV$9=TRUE,$AN$9=D50),AND($AW$9=TRUE,$AO$9=D50),AND($AX$9=TRUE,$AP$9=D50,E50&lt;50),AND($AU$9=TRUE,$AM$9=D50)),AE50,AF50),入力補助!$Z$3:$AA$94,2,FALSE))</f>
        <v>#N/A</v>
      </c>
      <c r="AH50" s="238" t="str">
        <f t="shared" si="5"/>
        <v/>
      </c>
      <c r="AI50" s="237" t="str">
        <f t="shared" si="6"/>
        <v/>
      </c>
      <c r="AJ50" s="239" t="str">
        <f>IFERROR(VLOOKUP(N50,コード表!$B$6:$BJ$3006,MATCH(AD50,コード表!$B$6:$BJ$6,0)),"")</f>
        <v/>
      </c>
    </row>
    <row r="51" spans="1:36" ht="20.399999999999999" customHeight="1">
      <c r="A51" s="384"/>
      <c r="C51" s="420"/>
      <c r="D51" s="418"/>
      <c r="E51" s="442"/>
      <c r="F51" s="420"/>
      <c r="G51" s="294" t="str">
        <f t="shared" si="7"/>
        <v/>
      </c>
      <c r="H51" s="296" t="str">
        <f t="shared" si="13"/>
        <v/>
      </c>
      <c r="I51" s="422"/>
      <c r="J51" s="298" t="str">
        <f t="shared" si="14"/>
        <v/>
      </c>
      <c r="K51" s="420"/>
      <c r="L51" s="300" t="str">
        <f t="shared" si="15"/>
        <v/>
      </c>
      <c r="M51" s="424"/>
      <c r="N51" s="302" t="str">
        <f t="shared" si="0"/>
        <v/>
      </c>
      <c r="O51" s="426"/>
      <c r="P51" s="324" t="str">
        <f>IF(D51="","",IFERROR(VLOOKUP(AD51,入力補助!$U$3:$V$94,2,FALSE),""))</f>
        <v/>
      </c>
      <c r="Q51" s="295" t="str">
        <f t="shared" si="8"/>
        <v/>
      </c>
      <c r="R51" s="428"/>
      <c r="S51" s="304" t="str">
        <f t="shared" si="9"/>
        <v/>
      </c>
      <c r="T51" s="352" t="str">
        <f t="shared" si="10"/>
        <v/>
      </c>
      <c r="U51" s="339" t="str">
        <f t="shared" si="11"/>
        <v/>
      </c>
      <c r="W51" s="352">
        <f t="shared" si="1"/>
        <v>0</v>
      </c>
      <c r="X51" s="352">
        <f t="shared" si="2"/>
        <v>0</v>
      </c>
      <c r="Y51" s="352" t="e">
        <f t="shared" si="3"/>
        <v>#VALUE!</v>
      </c>
      <c r="Z51" s="352" t="e">
        <f>VLOOKUP(D51,入力補助!$C$2:$Q$44,14,FALSE)</f>
        <v>#N/A</v>
      </c>
      <c r="AA51" s="352" t="e">
        <f>VLOOKUP(D51,入力補助!$C$2:$Q$44,15,FALSE)</f>
        <v>#N/A</v>
      </c>
      <c r="AB51" s="352" t="e">
        <f>VLOOKUP(D51,入力補助!$C$2:$R$44,16,FALSE)</f>
        <v>#N/A</v>
      </c>
      <c r="AC51" s="352" t="str">
        <f t="shared" si="4"/>
        <v>0</v>
      </c>
      <c r="AD51" s="352" t="e">
        <f t="shared" si="17"/>
        <v>#N/A</v>
      </c>
      <c r="AE51" s="352" t="e">
        <f t="shared" si="16"/>
        <v>#N/A</v>
      </c>
      <c r="AF51" s="352" t="e">
        <f t="shared" si="12"/>
        <v>#N/A</v>
      </c>
      <c r="AG51" s="237" t="e">
        <f>IF(AE51="","",VLOOKUP(IF(OR(AND($AV$9=TRUE,$AN$9=D51),AND($AW$9=TRUE,$AO$9=D51),AND($AX$9=TRUE,$AP$9=D51,E51&lt;50),AND($AU$9=TRUE,$AM$9=D51)),AE51,AF51),入力補助!$Z$3:$AA$94,2,FALSE))</f>
        <v>#N/A</v>
      </c>
      <c r="AH51" s="238" t="str">
        <f t="shared" si="5"/>
        <v/>
      </c>
      <c r="AI51" s="237" t="str">
        <f t="shared" si="6"/>
        <v/>
      </c>
      <c r="AJ51" s="239" t="str">
        <f>IFERROR(VLOOKUP(N51,コード表!$B$6:$BJ$3006,MATCH(AD51,コード表!$B$6:$BJ$6,0)),"")</f>
        <v/>
      </c>
    </row>
    <row r="52" spans="1:36" ht="20.399999999999999" customHeight="1">
      <c r="A52" s="384"/>
      <c r="C52" s="420"/>
      <c r="D52" s="418"/>
      <c r="E52" s="442"/>
      <c r="F52" s="420"/>
      <c r="G52" s="294" t="str">
        <f t="shared" si="7"/>
        <v/>
      </c>
      <c r="H52" s="296" t="str">
        <f t="shared" si="13"/>
        <v/>
      </c>
      <c r="I52" s="422"/>
      <c r="J52" s="298" t="str">
        <f t="shared" si="14"/>
        <v/>
      </c>
      <c r="K52" s="420"/>
      <c r="L52" s="300" t="str">
        <f t="shared" si="15"/>
        <v/>
      </c>
      <c r="M52" s="424"/>
      <c r="N52" s="302" t="str">
        <f t="shared" si="0"/>
        <v/>
      </c>
      <c r="O52" s="426"/>
      <c r="P52" s="324" t="str">
        <f>IF(D52="","",IFERROR(VLOOKUP(AD52,入力補助!$U$3:$V$94,2,FALSE),""))</f>
        <v/>
      </c>
      <c r="Q52" s="295" t="str">
        <f t="shared" si="8"/>
        <v/>
      </c>
      <c r="R52" s="428"/>
      <c r="S52" s="304" t="str">
        <f t="shared" si="9"/>
        <v/>
      </c>
      <c r="T52" s="352" t="str">
        <f t="shared" si="10"/>
        <v/>
      </c>
      <c r="U52" s="339" t="str">
        <f t="shared" si="11"/>
        <v/>
      </c>
      <c r="W52" s="352">
        <f t="shared" si="1"/>
        <v>0</v>
      </c>
      <c r="X52" s="352">
        <f t="shared" si="2"/>
        <v>0</v>
      </c>
      <c r="Y52" s="352" t="e">
        <f t="shared" si="3"/>
        <v>#VALUE!</v>
      </c>
      <c r="Z52" s="352" t="e">
        <f>VLOOKUP(D52,入力補助!$C$2:$Q$44,14,FALSE)</f>
        <v>#N/A</v>
      </c>
      <c r="AA52" s="352" t="e">
        <f>VLOOKUP(D52,入力補助!$C$2:$Q$44,15,FALSE)</f>
        <v>#N/A</v>
      </c>
      <c r="AB52" s="352" t="e">
        <f>VLOOKUP(D52,入力補助!$C$2:$R$44,16,FALSE)</f>
        <v>#N/A</v>
      </c>
      <c r="AC52" s="352" t="str">
        <f t="shared" si="4"/>
        <v>0</v>
      </c>
      <c r="AD52" s="352" t="e">
        <f t="shared" si="17"/>
        <v>#N/A</v>
      </c>
      <c r="AE52" s="352" t="e">
        <f t="shared" si="16"/>
        <v>#N/A</v>
      </c>
      <c r="AF52" s="352" t="e">
        <f t="shared" si="12"/>
        <v>#N/A</v>
      </c>
      <c r="AG52" s="237" t="e">
        <f>IF(AE52="","",VLOOKUP(IF(OR(AND($AV$9=TRUE,$AN$9=D52),AND($AW$9=TRUE,$AO$9=D52),AND($AX$9=TRUE,$AP$9=D52,E52&lt;50),AND($AU$9=TRUE,$AM$9=D52)),AE52,AF52),入力補助!$Z$3:$AA$94,2,FALSE))</f>
        <v>#N/A</v>
      </c>
      <c r="AH52" s="238" t="str">
        <f t="shared" si="5"/>
        <v/>
      </c>
      <c r="AI52" s="237" t="str">
        <f t="shared" si="6"/>
        <v/>
      </c>
      <c r="AJ52" s="239" t="str">
        <f>IFERROR(VLOOKUP(N52,コード表!$B$6:$BJ$3006,MATCH(AD52,コード表!$B$6:$BJ$6,0)),"")</f>
        <v/>
      </c>
    </row>
    <row r="53" spans="1:36" ht="20.399999999999999" customHeight="1">
      <c r="A53" s="384"/>
      <c r="C53" s="420"/>
      <c r="D53" s="418"/>
      <c r="E53" s="442"/>
      <c r="F53" s="420"/>
      <c r="G53" s="294" t="str">
        <f t="shared" si="7"/>
        <v/>
      </c>
      <c r="H53" s="296" t="str">
        <f t="shared" si="13"/>
        <v/>
      </c>
      <c r="I53" s="422"/>
      <c r="J53" s="298" t="str">
        <f t="shared" si="14"/>
        <v/>
      </c>
      <c r="K53" s="420"/>
      <c r="L53" s="300" t="str">
        <f t="shared" si="15"/>
        <v/>
      </c>
      <c r="M53" s="424"/>
      <c r="N53" s="302" t="str">
        <f t="shared" si="0"/>
        <v/>
      </c>
      <c r="O53" s="426"/>
      <c r="P53" s="324" t="str">
        <f>IF(D53="","",IFERROR(VLOOKUP(AD53,入力補助!$U$3:$V$94,2,FALSE),""))</f>
        <v/>
      </c>
      <c r="Q53" s="295" t="str">
        <f t="shared" si="8"/>
        <v/>
      </c>
      <c r="R53" s="428"/>
      <c r="S53" s="304" t="str">
        <f t="shared" si="9"/>
        <v/>
      </c>
      <c r="T53" s="352" t="str">
        <f t="shared" si="10"/>
        <v/>
      </c>
      <c r="U53" s="339" t="str">
        <f t="shared" si="11"/>
        <v/>
      </c>
      <c r="W53" s="352">
        <f t="shared" si="1"/>
        <v>0</v>
      </c>
      <c r="X53" s="352">
        <f t="shared" si="2"/>
        <v>0</v>
      </c>
      <c r="Y53" s="352" t="e">
        <f t="shared" si="3"/>
        <v>#VALUE!</v>
      </c>
      <c r="Z53" s="352" t="e">
        <f>VLOOKUP(D53,入力補助!$C$2:$Q$44,14,FALSE)</f>
        <v>#N/A</v>
      </c>
      <c r="AA53" s="352" t="e">
        <f>VLOOKUP(D53,入力補助!$C$2:$Q$44,15,FALSE)</f>
        <v>#N/A</v>
      </c>
      <c r="AB53" s="352" t="e">
        <f>VLOOKUP(D53,入力補助!$C$2:$R$44,16,FALSE)</f>
        <v>#N/A</v>
      </c>
      <c r="AC53" s="352" t="str">
        <f t="shared" si="4"/>
        <v>0</v>
      </c>
      <c r="AD53" s="352" t="e">
        <f t="shared" si="17"/>
        <v>#N/A</v>
      </c>
      <c r="AE53" s="352" t="e">
        <f t="shared" si="16"/>
        <v>#N/A</v>
      </c>
      <c r="AF53" s="352" t="e">
        <f t="shared" si="12"/>
        <v>#N/A</v>
      </c>
      <c r="AG53" s="237" t="e">
        <f>IF(AE53="","",VLOOKUP(IF(OR(AND($AV$9=TRUE,$AN$9=D53),AND($AW$9=TRUE,$AO$9=D53),AND($AX$9=TRUE,$AP$9=D53,E53&lt;50),AND($AU$9=TRUE,$AM$9=D53)),AE53,AF53),入力補助!$Z$3:$AA$94,2,FALSE))</f>
        <v>#N/A</v>
      </c>
      <c r="AH53" s="238" t="str">
        <f t="shared" si="5"/>
        <v/>
      </c>
      <c r="AI53" s="237" t="str">
        <f t="shared" si="6"/>
        <v/>
      </c>
      <c r="AJ53" s="239" t="str">
        <f>IFERROR(VLOOKUP(N53,コード表!$B$6:$BJ$3006,MATCH(AD53,コード表!$B$6:$BJ$6,0)),"")</f>
        <v/>
      </c>
    </row>
    <row r="54" spans="1:36" ht="20.399999999999999" customHeight="1">
      <c r="A54" s="384"/>
      <c r="C54" s="420"/>
      <c r="D54" s="418"/>
      <c r="E54" s="442"/>
      <c r="F54" s="420"/>
      <c r="G54" s="294" t="str">
        <f t="shared" si="7"/>
        <v/>
      </c>
      <c r="H54" s="296" t="str">
        <f t="shared" si="13"/>
        <v/>
      </c>
      <c r="I54" s="422"/>
      <c r="J54" s="298" t="str">
        <f t="shared" si="14"/>
        <v/>
      </c>
      <c r="K54" s="420"/>
      <c r="L54" s="300" t="str">
        <f t="shared" si="15"/>
        <v/>
      </c>
      <c r="M54" s="424"/>
      <c r="N54" s="302" t="str">
        <f t="shared" si="0"/>
        <v/>
      </c>
      <c r="O54" s="426"/>
      <c r="P54" s="324" t="str">
        <f>IF(D54="","",IFERROR(VLOOKUP(AD54,入力補助!$U$3:$V$94,2,FALSE),""))</f>
        <v/>
      </c>
      <c r="Q54" s="295" t="str">
        <f t="shared" si="8"/>
        <v/>
      </c>
      <c r="R54" s="428"/>
      <c r="S54" s="304" t="str">
        <f t="shared" si="9"/>
        <v/>
      </c>
      <c r="T54" s="352" t="str">
        <f t="shared" si="10"/>
        <v/>
      </c>
      <c r="U54" s="339" t="str">
        <f t="shared" si="11"/>
        <v/>
      </c>
      <c r="W54" s="352">
        <f t="shared" si="1"/>
        <v>0</v>
      </c>
      <c r="X54" s="352">
        <f t="shared" si="2"/>
        <v>0</v>
      </c>
      <c r="Y54" s="352" t="e">
        <f t="shared" si="3"/>
        <v>#VALUE!</v>
      </c>
      <c r="Z54" s="352" t="e">
        <f>VLOOKUP(D54,入力補助!$C$2:$Q$44,14,FALSE)</f>
        <v>#N/A</v>
      </c>
      <c r="AA54" s="352" t="e">
        <f>VLOOKUP(D54,入力補助!$C$2:$Q$44,15,FALSE)</f>
        <v>#N/A</v>
      </c>
      <c r="AB54" s="352" t="e">
        <f>VLOOKUP(D54,入力補助!$C$2:$R$44,16,FALSE)</f>
        <v>#N/A</v>
      </c>
      <c r="AC54" s="352" t="str">
        <f t="shared" si="4"/>
        <v>0</v>
      </c>
      <c r="AD54" s="352" t="e">
        <f t="shared" si="17"/>
        <v>#N/A</v>
      </c>
      <c r="AE54" s="352" t="e">
        <f t="shared" si="16"/>
        <v>#N/A</v>
      </c>
      <c r="AF54" s="352" t="e">
        <f t="shared" si="12"/>
        <v>#N/A</v>
      </c>
      <c r="AG54" s="237" t="e">
        <f>IF(AE54="","",VLOOKUP(IF(OR(AND($AV$9=TRUE,$AN$9=D54),AND($AW$9=TRUE,$AO$9=D54),AND($AX$9=TRUE,$AP$9=D54,E54&lt;50),AND($AU$9=TRUE,$AM$9=D54)),AE54,AF54),入力補助!$Z$3:$AA$94,2,FALSE))</f>
        <v>#N/A</v>
      </c>
      <c r="AH54" s="238" t="str">
        <f t="shared" si="5"/>
        <v/>
      </c>
      <c r="AI54" s="237" t="str">
        <f t="shared" si="6"/>
        <v/>
      </c>
      <c r="AJ54" s="239" t="str">
        <f>IFERROR(VLOOKUP(N54,コード表!$B$6:$BJ$3006,MATCH(AD54,コード表!$B$6:$BJ$6,0)),"")</f>
        <v/>
      </c>
    </row>
    <row r="55" spans="1:36" ht="20.399999999999999" customHeight="1">
      <c r="A55" s="384"/>
      <c r="C55" s="420"/>
      <c r="D55" s="418"/>
      <c r="E55" s="442"/>
      <c r="F55" s="420"/>
      <c r="G55" s="294" t="str">
        <f t="shared" ref="G55:G60" si="18">IF(D55="","",IF(F55="",G54,W55*6+IF(X55=0,0,IF(X55=1,1,IF(X55&lt;5,2,IF(X55&lt;11,3,IF(X55&lt;16,4,IF(X55&lt;21,5,IF(X55&lt;30,6,0)))))))))</f>
        <v/>
      </c>
      <c r="H55" s="296" t="str">
        <f t="shared" si="13"/>
        <v/>
      </c>
      <c r="I55" s="422"/>
      <c r="J55" s="298" t="str">
        <f t="shared" ref="J55:J60" si="19">IF(D55="","",IF(I55="",J54,IF(I55&lt;10,ROUND(42*(I55^0.33)/60,1),IF(I55&lt;600,ROUND(19*(I55^0.67)/60,1),ROUND(2.8*(I55^0.97)/60,1)))))</f>
        <v/>
      </c>
      <c r="K55" s="420"/>
      <c r="L55" s="300" t="str">
        <f t="shared" si="15"/>
        <v/>
      </c>
      <c r="M55" s="424"/>
      <c r="N55" s="302" t="str">
        <f t="shared" ref="N55:N60" si="20">IF(_xlfn.AGGREGATE(9,3,Y55,J55,L55,M55)=0,"",_xlfn.AGGREGATE(9,3,Y55,J55,L55,M55))</f>
        <v/>
      </c>
      <c r="O55" s="426"/>
      <c r="P55" s="324" t="str">
        <f>IF(D55="","",IFERROR(VLOOKUP(AD55,入力補助!$U$3:$V$94,2,FALSE),""))</f>
        <v/>
      </c>
      <c r="Q55" s="295" t="str">
        <f t="shared" ref="Q55:Q60" si="21">IF(AJ55="",IFERROR(IF(AI55&lt;10,ROUND(AI55,1),ROUND(AI55,0)),""),"")</f>
        <v/>
      </c>
      <c r="R55" s="428"/>
      <c r="S55" s="304" t="str">
        <f t="shared" si="9"/>
        <v/>
      </c>
      <c r="T55" s="352" t="str">
        <f t="shared" ref="T55:T60" si="22">IF(D55="SUS","S",IF(D55="VSP","V",IF(D55="COP","C","")))</f>
        <v/>
      </c>
      <c r="U55" s="339" t="str">
        <f t="shared" si="11"/>
        <v/>
      </c>
      <c r="W55" s="352">
        <f t="shared" ref="W55:W60" si="23">ROUNDDOWN(F55/30,0)</f>
        <v>0</v>
      </c>
      <c r="X55" s="352">
        <f t="shared" ref="X55:X60" si="24">F55-W55*30</f>
        <v>0</v>
      </c>
      <c r="Y55" s="352" t="e">
        <f t="shared" ref="Y55:Y60" si="25">G55*H55</f>
        <v>#VALUE!</v>
      </c>
      <c r="Z55" s="352" t="e">
        <f>VLOOKUP(D55,入力補助!$C$2:$Q$44,14,FALSE)</f>
        <v>#N/A</v>
      </c>
      <c r="AA55" s="352" t="e">
        <f>VLOOKUP(D55,入力補助!$C$2:$Q$44,15,FALSE)</f>
        <v>#N/A</v>
      </c>
      <c r="AB55" s="352" t="e">
        <f>VLOOKUP(D55,入力補助!$C$2:$R$44,16,FALSE)</f>
        <v>#N/A</v>
      </c>
      <c r="AC55" s="352" t="str">
        <f t="shared" ref="AC55:AC60" si="26">IF(LEN(E55)=3,E55,0&amp;E55)</f>
        <v>0</v>
      </c>
      <c r="AD55" s="352" t="e">
        <f t="shared" ref="AD55:AD60" si="27">Z55&amp;AC55</f>
        <v>#N/A</v>
      </c>
      <c r="AE55" s="352" t="e">
        <f t="shared" ref="AE55:AE60" si="28">AA55&amp;AC55</f>
        <v>#N/A</v>
      </c>
      <c r="AF55" s="352" t="e">
        <f t="shared" ref="AF55:AF60" si="29">AB55&amp;AC55</f>
        <v>#N/A</v>
      </c>
      <c r="AG55" s="237" t="e">
        <f>IF(AE55="","",VLOOKUP(IF(OR(AND($AV$9=TRUE,$AN$9=D55),AND($AW$9=TRUE,$AO$9=D55),AND($AX$9=TRUE,$AP$9=D55,E55&lt;50),AND($AU$9=TRUE,$AM$9=D55)),AE55,AF55),入力補助!$Z$3:$AA$94,2,FALSE))</f>
        <v>#N/A</v>
      </c>
      <c r="AH55" s="238" t="str">
        <f t="shared" ref="AH55:AH60" si="30">IF(N55="","",((N55/1000)/((AG55/1000)^2*3.14/4)))</f>
        <v/>
      </c>
      <c r="AI55" s="237" t="str">
        <f t="shared" ref="AI55:AI60" si="31">IF(N55="","",IF(AG55&gt;60,ROUND((10.666*110^-1.85*(AG55/1000)^-4.87*(N55/1000)^1.85*1)*1000,1),ROUND(((0.0126+((0.01739-0.1087*(AG55/1000))/SQRT(AH55)))*(1/(AG55/1000))*((AH55^2)/(2*9.8))*1000),2)))</f>
        <v/>
      </c>
      <c r="AJ55" s="239" t="str">
        <f>IFERROR(VLOOKUP(N55,コード表!$B$6:$BJ$3006,MATCH(AD55,コード表!$B$6:$BJ$6,0)),"")</f>
        <v/>
      </c>
    </row>
    <row r="56" spans="1:36" ht="20.399999999999999" customHeight="1">
      <c r="A56" s="384"/>
      <c r="C56" s="420"/>
      <c r="D56" s="418"/>
      <c r="E56" s="442"/>
      <c r="F56" s="420"/>
      <c r="G56" s="294" t="str">
        <f t="shared" si="18"/>
        <v/>
      </c>
      <c r="H56" s="296" t="str">
        <f t="shared" si="13"/>
        <v/>
      </c>
      <c r="I56" s="422"/>
      <c r="J56" s="298" t="str">
        <f t="shared" si="19"/>
        <v/>
      </c>
      <c r="K56" s="420"/>
      <c r="L56" s="300" t="str">
        <f t="shared" si="15"/>
        <v/>
      </c>
      <c r="M56" s="424"/>
      <c r="N56" s="302" t="str">
        <f t="shared" si="20"/>
        <v/>
      </c>
      <c r="O56" s="426"/>
      <c r="P56" s="324" t="str">
        <f>IF(D56="","",IFERROR(VLOOKUP(AD56,入力補助!$U$3:$V$94,2,FALSE),""))</f>
        <v/>
      </c>
      <c r="Q56" s="295" t="str">
        <f t="shared" si="21"/>
        <v/>
      </c>
      <c r="R56" s="428"/>
      <c r="S56" s="304" t="str">
        <f t="shared" si="9"/>
        <v/>
      </c>
      <c r="T56" s="352" t="str">
        <f t="shared" si="22"/>
        <v/>
      </c>
      <c r="U56" s="339" t="str">
        <f t="shared" si="11"/>
        <v/>
      </c>
      <c r="W56" s="352">
        <f t="shared" si="23"/>
        <v>0</v>
      </c>
      <c r="X56" s="352">
        <f t="shared" si="24"/>
        <v>0</v>
      </c>
      <c r="Y56" s="352" t="e">
        <f t="shared" si="25"/>
        <v>#VALUE!</v>
      </c>
      <c r="Z56" s="352" t="e">
        <f>VLOOKUP(D56,入力補助!$C$2:$Q$44,14,FALSE)</f>
        <v>#N/A</v>
      </c>
      <c r="AA56" s="352" t="e">
        <f>VLOOKUP(D56,入力補助!$C$2:$Q$44,15,FALSE)</f>
        <v>#N/A</v>
      </c>
      <c r="AB56" s="352" t="e">
        <f>VLOOKUP(D56,入力補助!$C$2:$R$44,16,FALSE)</f>
        <v>#N/A</v>
      </c>
      <c r="AC56" s="352" t="str">
        <f t="shared" si="26"/>
        <v>0</v>
      </c>
      <c r="AD56" s="352" t="e">
        <f t="shared" si="27"/>
        <v>#N/A</v>
      </c>
      <c r="AE56" s="352" t="e">
        <f t="shared" si="28"/>
        <v>#N/A</v>
      </c>
      <c r="AF56" s="352" t="e">
        <f t="shared" si="29"/>
        <v>#N/A</v>
      </c>
      <c r="AG56" s="237" t="e">
        <f>IF(AE56="","",VLOOKUP(IF(OR(AND($AV$9=TRUE,$AN$9=D56),AND($AW$9=TRUE,$AO$9=D56),AND($AX$9=TRUE,$AP$9=D56,E56&lt;50),AND($AU$9=TRUE,$AM$9=D56)),AE56,AF56),入力補助!$Z$3:$AA$94,2,FALSE))</f>
        <v>#N/A</v>
      </c>
      <c r="AH56" s="238" t="str">
        <f t="shared" si="30"/>
        <v/>
      </c>
      <c r="AI56" s="237" t="str">
        <f t="shared" si="31"/>
        <v/>
      </c>
      <c r="AJ56" s="239" t="str">
        <f>IFERROR(VLOOKUP(N56,コード表!$B$6:$BJ$3006,MATCH(AD56,コード表!$B$6:$BJ$6,0)),"")</f>
        <v/>
      </c>
    </row>
    <row r="57" spans="1:36" ht="20.399999999999999" customHeight="1">
      <c r="A57" s="384"/>
      <c r="C57" s="420"/>
      <c r="D57" s="418"/>
      <c r="E57" s="442"/>
      <c r="F57" s="420"/>
      <c r="G57" s="294" t="str">
        <f t="shared" si="18"/>
        <v/>
      </c>
      <c r="H57" s="296" t="str">
        <f t="shared" si="13"/>
        <v/>
      </c>
      <c r="I57" s="422"/>
      <c r="J57" s="298" t="str">
        <f t="shared" si="19"/>
        <v/>
      </c>
      <c r="K57" s="420"/>
      <c r="L57" s="300" t="str">
        <f t="shared" si="15"/>
        <v/>
      </c>
      <c r="M57" s="424"/>
      <c r="N57" s="302" t="str">
        <f t="shared" si="20"/>
        <v/>
      </c>
      <c r="O57" s="426"/>
      <c r="P57" s="324" t="str">
        <f>IF(D57="","",IFERROR(VLOOKUP(AD57,入力補助!$U$3:$V$94,2,FALSE),""))</f>
        <v/>
      </c>
      <c r="Q57" s="295" t="str">
        <f t="shared" si="21"/>
        <v/>
      </c>
      <c r="R57" s="428"/>
      <c r="S57" s="304" t="str">
        <f t="shared" si="9"/>
        <v/>
      </c>
      <c r="T57" s="352" t="str">
        <f t="shared" si="22"/>
        <v/>
      </c>
      <c r="U57" s="339" t="str">
        <f t="shared" si="11"/>
        <v/>
      </c>
      <c r="W57" s="352">
        <f t="shared" si="23"/>
        <v>0</v>
      </c>
      <c r="X57" s="352">
        <f t="shared" si="24"/>
        <v>0</v>
      </c>
      <c r="Y57" s="352" t="e">
        <f t="shared" si="25"/>
        <v>#VALUE!</v>
      </c>
      <c r="Z57" s="352" t="e">
        <f>VLOOKUP(D57,入力補助!$C$2:$Q$44,14,FALSE)</f>
        <v>#N/A</v>
      </c>
      <c r="AA57" s="352" t="e">
        <f>VLOOKUP(D57,入力補助!$C$2:$Q$44,15,FALSE)</f>
        <v>#N/A</v>
      </c>
      <c r="AB57" s="352" t="e">
        <f>VLOOKUP(D57,入力補助!$C$2:$R$44,16,FALSE)</f>
        <v>#N/A</v>
      </c>
      <c r="AC57" s="352" t="str">
        <f t="shared" si="26"/>
        <v>0</v>
      </c>
      <c r="AD57" s="352" t="e">
        <f t="shared" si="27"/>
        <v>#N/A</v>
      </c>
      <c r="AE57" s="352" t="e">
        <f t="shared" si="28"/>
        <v>#N/A</v>
      </c>
      <c r="AF57" s="352" t="e">
        <f t="shared" si="29"/>
        <v>#N/A</v>
      </c>
      <c r="AG57" s="237" t="e">
        <f>IF(AE57="","",VLOOKUP(IF(OR(AND($AV$9=TRUE,$AN$9=D57),AND($AW$9=TRUE,$AO$9=D57),AND($AX$9=TRUE,$AP$9=D57,E57&lt;50),AND($AU$9=TRUE,$AM$9=D57)),AE57,AF57),入力補助!$Z$3:$AA$94,2,FALSE))</f>
        <v>#N/A</v>
      </c>
      <c r="AH57" s="238" t="str">
        <f t="shared" si="30"/>
        <v/>
      </c>
      <c r="AI57" s="237" t="str">
        <f t="shared" si="31"/>
        <v/>
      </c>
      <c r="AJ57" s="239" t="str">
        <f>IFERROR(VLOOKUP(N57,コード表!$B$6:$BJ$3006,MATCH(AD57,コード表!$B$6:$BJ$6,0)),"")</f>
        <v/>
      </c>
    </row>
    <row r="58" spans="1:36" ht="20.399999999999999" customHeight="1">
      <c r="A58" s="384"/>
      <c r="C58" s="420"/>
      <c r="D58" s="418"/>
      <c r="E58" s="442"/>
      <c r="F58" s="420"/>
      <c r="G58" s="294" t="str">
        <f t="shared" si="18"/>
        <v/>
      </c>
      <c r="H58" s="296" t="str">
        <f t="shared" si="13"/>
        <v/>
      </c>
      <c r="I58" s="422"/>
      <c r="J58" s="298" t="str">
        <f t="shared" si="19"/>
        <v/>
      </c>
      <c r="K58" s="420"/>
      <c r="L58" s="300" t="str">
        <f t="shared" si="15"/>
        <v/>
      </c>
      <c r="M58" s="424"/>
      <c r="N58" s="302" t="str">
        <f t="shared" si="20"/>
        <v/>
      </c>
      <c r="O58" s="426"/>
      <c r="P58" s="324" t="str">
        <f>IF(D58="","",IFERROR(VLOOKUP(AD58,入力補助!$U$3:$V$94,2,FALSE),""))</f>
        <v/>
      </c>
      <c r="Q58" s="295" t="str">
        <f t="shared" si="21"/>
        <v/>
      </c>
      <c r="R58" s="428"/>
      <c r="S58" s="304" t="str">
        <f t="shared" si="9"/>
        <v/>
      </c>
      <c r="T58" s="352" t="str">
        <f t="shared" si="22"/>
        <v/>
      </c>
      <c r="U58" s="339" t="str">
        <f t="shared" si="11"/>
        <v/>
      </c>
      <c r="W58" s="352">
        <f t="shared" si="23"/>
        <v>0</v>
      </c>
      <c r="X58" s="352">
        <f t="shared" si="24"/>
        <v>0</v>
      </c>
      <c r="Y58" s="352" t="e">
        <f t="shared" si="25"/>
        <v>#VALUE!</v>
      </c>
      <c r="Z58" s="352" t="e">
        <f>VLOOKUP(D58,入力補助!$C$2:$Q$44,14,FALSE)</f>
        <v>#N/A</v>
      </c>
      <c r="AA58" s="352" t="e">
        <f>VLOOKUP(D58,入力補助!$C$2:$Q$44,15,FALSE)</f>
        <v>#N/A</v>
      </c>
      <c r="AB58" s="352" t="e">
        <f>VLOOKUP(D58,入力補助!$C$2:$R$44,16,FALSE)</f>
        <v>#N/A</v>
      </c>
      <c r="AC58" s="352" t="str">
        <f t="shared" si="26"/>
        <v>0</v>
      </c>
      <c r="AD58" s="352" t="e">
        <f t="shared" si="27"/>
        <v>#N/A</v>
      </c>
      <c r="AE58" s="352" t="e">
        <f t="shared" si="28"/>
        <v>#N/A</v>
      </c>
      <c r="AF58" s="352" t="e">
        <f t="shared" si="29"/>
        <v>#N/A</v>
      </c>
      <c r="AG58" s="237" t="e">
        <f>IF(AE58="","",VLOOKUP(IF(OR(AND($AV$9=TRUE,$AN$9=D58),AND($AW$9=TRUE,$AO$9=D58),AND($AX$9=TRUE,$AP$9=D58,E58&lt;50),AND($AU$9=TRUE,$AM$9=D58)),AE58,AF58),入力補助!$Z$3:$AA$94,2,FALSE))</f>
        <v>#N/A</v>
      </c>
      <c r="AH58" s="238" t="str">
        <f t="shared" si="30"/>
        <v/>
      </c>
      <c r="AI58" s="237" t="str">
        <f t="shared" si="31"/>
        <v/>
      </c>
      <c r="AJ58" s="239" t="str">
        <f>IFERROR(VLOOKUP(N58,コード表!$B$6:$BJ$3006,MATCH(AD58,コード表!$B$6:$BJ$6,0)),"")</f>
        <v/>
      </c>
    </row>
    <row r="59" spans="1:36" ht="20.399999999999999" customHeight="1">
      <c r="A59" s="384"/>
      <c r="C59" s="420"/>
      <c r="D59" s="418"/>
      <c r="E59" s="442"/>
      <c r="F59" s="420"/>
      <c r="G59" s="294" t="str">
        <f t="shared" si="18"/>
        <v/>
      </c>
      <c r="H59" s="296" t="str">
        <f t="shared" si="13"/>
        <v/>
      </c>
      <c r="I59" s="422"/>
      <c r="J59" s="298" t="str">
        <f t="shared" si="19"/>
        <v/>
      </c>
      <c r="K59" s="420"/>
      <c r="L59" s="300" t="str">
        <f t="shared" si="15"/>
        <v/>
      </c>
      <c r="M59" s="424"/>
      <c r="N59" s="302" t="str">
        <f t="shared" si="20"/>
        <v/>
      </c>
      <c r="O59" s="426"/>
      <c r="P59" s="324" t="str">
        <f>IF(D59="","",IFERROR(VLOOKUP(AD59,入力補助!$U$3:$V$94,2,FALSE),""))</f>
        <v/>
      </c>
      <c r="Q59" s="295" t="str">
        <f t="shared" si="21"/>
        <v/>
      </c>
      <c r="R59" s="428"/>
      <c r="S59" s="304" t="str">
        <f t="shared" si="9"/>
        <v/>
      </c>
      <c r="T59" s="352" t="str">
        <f t="shared" si="22"/>
        <v/>
      </c>
      <c r="U59" s="339" t="str">
        <f t="shared" si="11"/>
        <v/>
      </c>
      <c r="W59" s="352">
        <f t="shared" si="23"/>
        <v>0</v>
      </c>
      <c r="X59" s="352">
        <f t="shared" si="24"/>
        <v>0</v>
      </c>
      <c r="Y59" s="352" t="e">
        <f t="shared" si="25"/>
        <v>#VALUE!</v>
      </c>
      <c r="Z59" s="352" t="e">
        <f>VLOOKUP(D59,入力補助!$C$2:$Q$44,14,FALSE)</f>
        <v>#N/A</v>
      </c>
      <c r="AA59" s="352" t="e">
        <f>VLOOKUP(D59,入力補助!$C$2:$Q$44,15,FALSE)</f>
        <v>#N/A</v>
      </c>
      <c r="AB59" s="352" t="e">
        <f>VLOOKUP(D59,入力補助!$C$2:$R$44,16,FALSE)</f>
        <v>#N/A</v>
      </c>
      <c r="AC59" s="352" t="str">
        <f t="shared" si="26"/>
        <v>0</v>
      </c>
      <c r="AD59" s="352" t="e">
        <f t="shared" si="27"/>
        <v>#N/A</v>
      </c>
      <c r="AE59" s="352" t="e">
        <f t="shared" si="28"/>
        <v>#N/A</v>
      </c>
      <c r="AF59" s="352" t="e">
        <f t="shared" si="29"/>
        <v>#N/A</v>
      </c>
      <c r="AG59" s="237" t="e">
        <f>IF(AE59="","",VLOOKUP(IF(OR(AND($AV$9=TRUE,$AN$9=D59),AND($AW$9=TRUE,$AO$9=D59),AND($AX$9=TRUE,$AP$9=D59,E59&lt;50),AND($AU$9=TRUE,$AM$9=D59)),AE59,AF59),入力補助!$Z$3:$AA$94,2,FALSE))</f>
        <v>#N/A</v>
      </c>
      <c r="AH59" s="238" t="str">
        <f t="shared" si="30"/>
        <v/>
      </c>
      <c r="AI59" s="237" t="str">
        <f t="shared" si="31"/>
        <v/>
      </c>
      <c r="AJ59" s="239" t="str">
        <f>IFERROR(VLOOKUP(N59,コード表!$B$6:$BJ$3006,MATCH(AD59,コード表!$B$6:$BJ$6,0)),"")</f>
        <v/>
      </c>
    </row>
    <row r="60" spans="1:36" ht="20.399999999999999" customHeight="1">
      <c r="A60" s="384"/>
      <c r="C60" s="420"/>
      <c r="D60" s="418"/>
      <c r="E60" s="442"/>
      <c r="F60" s="420"/>
      <c r="G60" s="294" t="str">
        <f t="shared" si="18"/>
        <v/>
      </c>
      <c r="H60" s="296" t="str">
        <f t="shared" si="13"/>
        <v/>
      </c>
      <c r="I60" s="422"/>
      <c r="J60" s="298" t="str">
        <f t="shared" si="19"/>
        <v/>
      </c>
      <c r="K60" s="420"/>
      <c r="L60" s="300" t="str">
        <f t="shared" si="15"/>
        <v/>
      </c>
      <c r="M60" s="424"/>
      <c r="N60" s="302" t="str">
        <f t="shared" si="20"/>
        <v/>
      </c>
      <c r="O60" s="426"/>
      <c r="P60" s="324" t="str">
        <f>IF(D60="","",IFERROR(VLOOKUP(AD60,入力補助!$U$3:$V$94,2,FALSE),""))</f>
        <v/>
      </c>
      <c r="Q60" s="295" t="str">
        <f t="shared" si="21"/>
        <v/>
      </c>
      <c r="R60" s="428"/>
      <c r="S60" s="304" t="str">
        <f t="shared" si="9"/>
        <v/>
      </c>
      <c r="T60" s="352" t="str">
        <f t="shared" si="22"/>
        <v/>
      </c>
      <c r="U60" s="339" t="str">
        <f t="shared" si="11"/>
        <v/>
      </c>
      <c r="W60" s="352">
        <f t="shared" si="23"/>
        <v>0</v>
      </c>
      <c r="X60" s="352">
        <f t="shared" si="24"/>
        <v>0</v>
      </c>
      <c r="Y60" s="352" t="e">
        <f t="shared" si="25"/>
        <v>#VALUE!</v>
      </c>
      <c r="Z60" s="352" t="e">
        <f>VLOOKUP(D60,入力補助!$C$2:$Q$44,14,FALSE)</f>
        <v>#N/A</v>
      </c>
      <c r="AA60" s="352" t="e">
        <f>VLOOKUP(D60,入力補助!$C$2:$Q$44,15,FALSE)</f>
        <v>#N/A</v>
      </c>
      <c r="AB60" s="352" t="e">
        <f>VLOOKUP(D60,入力補助!$C$2:$R$44,16,FALSE)</f>
        <v>#N/A</v>
      </c>
      <c r="AC60" s="352" t="str">
        <f t="shared" si="26"/>
        <v>0</v>
      </c>
      <c r="AD60" s="352" t="e">
        <f t="shared" si="27"/>
        <v>#N/A</v>
      </c>
      <c r="AE60" s="352" t="e">
        <f t="shared" si="28"/>
        <v>#N/A</v>
      </c>
      <c r="AF60" s="352" t="e">
        <f t="shared" si="29"/>
        <v>#N/A</v>
      </c>
      <c r="AG60" s="237" t="e">
        <f>IF(AE60="","",VLOOKUP(IF(OR(AND($AV$9=TRUE,$AN$9=D60),AND($AW$9=TRUE,$AO$9=D60),AND($AX$9=TRUE,$AP$9=D60,E60&lt;50),AND($AU$9=TRUE,$AM$9=D60)),AE60,AF60),入力補助!$Z$3:$AA$94,2,FALSE))</f>
        <v>#N/A</v>
      </c>
      <c r="AH60" s="238" t="str">
        <f t="shared" si="30"/>
        <v/>
      </c>
      <c r="AI60" s="237" t="str">
        <f t="shared" si="31"/>
        <v/>
      </c>
      <c r="AJ60" s="239" t="str">
        <f>IFERROR(VLOOKUP(N60,コード表!$B$6:$BJ$3006,MATCH(AD60,コード表!$B$6:$BJ$6,0)),"")</f>
        <v/>
      </c>
    </row>
    <row r="61" spans="1:36" ht="20.399999999999999" customHeight="1">
      <c r="A61" s="384"/>
      <c r="C61" s="420"/>
      <c r="D61" s="418"/>
      <c r="E61" s="442"/>
      <c r="F61" s="420"/>
      <c r="G61" s="294" t="str">
        <f t="shared" ref="G61:G62" si="32">IF(D61="","",IF(F61="",G60,W61*6+IF(X61=0,0,IF(X61=1,1,IF(X61&lt;5,2,IF(X61&lt;11,3,IF(X61&lt;16,4,IF(X61&lt;21,5,IF(X61&lt;30,6,0)))))))))</f>
        <v/>
      </c>
      <c r="H61" s="296" t="str">
        <f t="shared" si="13"/>
        <v/>
      </c>
      <c r="I61" s="422"/>
      <c r="J61" s="298" t="str">
        <f t="shared" ref="J61:J62" si="33">IF(D61="","",IF(I61="",J60,IF(I61&lt;10,ROUND(42*(I61^0.33)/60,1),IF(I61&lt;600,ROUND(19*(I61^0.67)/60,1),ROUND(2.8*(I61^0.97)/60,1)))))</f>
        <v/>
      </c>
      <c r="K61" s="420"/>
      <c r="L61" s="300" t="str">
        <f t="shared" si="15"/>
        <v/>
      </c>
      <c r="M61" s="424"/>
      <c r="N61" s="302" t="str">
        <f t="shared" ref="N61:N62" si="34">IF(_xlfn.AGGREGATE(9,3,Y61,J61,L61,M61)=0,"",_xlfn.AGGREGATE(9,3,Y61,J61,L61,M61))</f>
        <v/>
      </c>
      <c r="O61" s="426"/>
      <c r="P61" s="324" t="str">
        <f>IF(D61="","",IFERROR(VLOOKUP(AD61,入力補助!$U$3:$V$94,2,FALSE),""))</f>
        <v/>
      </c>
      <c r="Q61" s="295" t="str">
        <f t="shared" ref="Q61:Q62" si="35">IF(AJ61="",IFERROR(IF(AI61&lt;10,ROUND(AI61,1),ROUND(AI61,0)),""),"")</f>
        <v/>
      </c>
      <c r="R61" s="428"/>
      <c r="S61" s="304" t="str">
        <f t="shared" si="9"/>
        <v/>
      </c>
      <c r="T61" s="352" t="str">
        <f t="shared" ref="T61:T62" si="36">IF(D61="SUS","S",IF(D61="VSP","V",IF(D61="COP","C","")))</f>
        <v/>
      </c>
      <c r="U61" s="339" t="str">
        <f t="shared" si="11"/>
        <v/>
      </c>
      <c r="W61" s="352">
        <f t="shared" ref="W61:W62" si="37">ROUNDDOWN(F61/30,0)</f>
        <v>0</v>
      </c>
      <c r="X61" s="352">
        <f t="shared" ref="X61:X62" si="38">F61-W61*30</f>
        <v>0</v>
      </c>
      <c r="Y61" s="352" t="e">
        <f t="shared" ref="Y61:Y62" si="39">G61*H61</f>
        <v>#VALUE!</v>
      </c>
      <c r="Z61" s="352" t="e">
        <f>VLOOKUP(D61,入力補助!$C$2:$Q$44,14,FALSE)</f>
        <v>#N/A</v>
      </c>
      <c r="AA61" s="352" t="e">
        <f>VLOOKUP(D61,入力補助!$C$2:$Q$44,15,FALSE)</f>
        <v>#N/A</v>
      </c>
      <c r="AB61" s="352" t="e">
        <f>VLOOKUP(D61,入力補助!$C$2:$R$44,16,FALSE)</f>
        <v>#N/A</v>
      </c>
      <c r="AC61" s="352" t="str">
        <f t="shared" ref="AC61:AC62" si="40">IF(LEN(E61)=3,E61,0&amp;E61)</f>
        <v>0</v>
      </c>
      <c r="AD61" s="352" t="e">
        <f t="shared" ref="AD61:AD62" si="41">Z61&amp;AC61</f>
        <v>#N/A</v>
      </c>
      <c r="AE61" s="352" t="e">
        <f t="shared" ref="AE61:AE62" si="42">AA61&amp;AC61</f>
        <v>#N/A</v>
      </c>
      <c r="AF61" s="352" t="e">
        <f t="shared" ref="AF61:AF62" si="43">AB61&amp;AC61</f>
        <v>#N/A</v>
      </c>
      <c r="AG61" s="237" t="e">
        <f>IF(AE61="","",VLOOKUP(IF(OR(AND($AV$9=TRUE,$AN$9=D61),AND($AW$9=TRUE,$AO$9=D61),AND($AX$9=TRUE,$AP$9=D61,E61&lt;50),AND($AU$9=TRUE,$AM$9=D61)),AE61,AF61),入力補助!$Z$3:$AA$94,2,FALSE))</f>
        <v>#N/A</v>
      </c>
      <c r="AH61" s="238" t="str">
        <f t="shared" ref="AH61:AH62" si="44">IF(N61="","",((N61/1000)/((AG61/1000)^2*3.14/4)))</f>
        <v/>
      </c>
      <c r="AI61" s="237" t="str">
        <f t="shared" ref="AI61:AI62" si="45">IF(N61="","",IF(AG61&gt;60,ROUND((10.666*110^-1.85*(AG61/1000)^-4.87*(N61/1000)^1.85*1)*1000,1),ROUND(((0.0126+((0.01739-0.1087*(AG61/1000))/SQRT(AH61)))*(1/(AG61/1000))*((AH61^2)/(2*9.8))*1000),2)))</f>
        <v/>
      </c>
      <c r="AJ61" s="239" t="str">
        <f>IFERROR(VLOOKUP(N61,コード表!$B$6:$BJ$3006,MATCH(AD61,コード表!$B$6:$BJ$6,0)),"")</f>
        <v/>
      </c>
    </row>
    <row r="62" spans="1:36" ht="20.399999999999999" customHeight="1">
      <c r="A62" s="384"/>
      <c r="C62" s="420"/>
      <c r="D62" s="418"/>
      <c r="E62" s="442"/>
      <c r="F62" s="420"/>
      <c r="G62" s="294" t="str">
        <f t="shared" si="32"/>
        <v/>
      </c>
      <c r="H62" s="296" t="str">
        <f t="shared" si="13"/>
        <v/>
      </c>
      <c r="I62" s="422"/>
      <c r="J62" s="298" t="str">
        <f t="shared" si="33"/>
        <v/>
      </c>
      <c r="K62" s="420"/>
      <c r="L62" s="300" t="str">
        <f t="shared" si="15"/>
        <v/>
      </c>
      <c r="M62" s="424"/>
      <c r="N62" s="302" t="str">
        <f t="shared" si="34"/>
        <v/>
      </c>
      <c r="O62" s="426"/>
      <c r="P62" s="324" t="str">
        <f>IF(D62="","",IFERROR(VLOOKUP(AD62,入力補助!$U$3:$V$94,2,FALSE),""))</f>
        <v/>
      </c>
      <c r="Q62" s="295" t="str">
        <f t="shared" si="35"/>
        <v/>
      </c>
      <c r="R62" s="428"/>
      <c r="S62" s="304" t="str">
        <f t="shared" si="9"/>
        <v/>
      </c>
      <c r="T62" s="352" t="str">
        <f t="shared" si="36"/>
        <v/>
      </c>
      <c r="U62" s="339" t="str">
        <f t="shared" si="11"/>
        <v/>
      </c>
      <c r="W62" s="352">
        <f t="shared" si="37"/>
        <v>0</v>
      </c>
      <c r="X62" s="352">
        <f t="shared" si="38"/>
        <v>0</v>
      </c>
      <c r="Y62" s="352" t="e">
        <f t="shared" si="39"/>
        <v>#VALUE!</v>
      </c>
      <c r="Z62" s="352" t="e">
        <f>VLOOKUP(D62,入力補助!$C$2:$Q$44,14,FALSE)</f>
        <v>#N/A</v>
      </c>
      <c r="AA62" s="352" t="e">
        <f>VLOOKUP(D62,入力補助!$C$2:$Q$44,15,FALSE)</f>
        <v>#N/A</v>
      </c>
      <c r="AB62" s="352" t="e">
        <f>VLOOKUP(D62,入力補助!$C$2:$R$44,16,FALSE)</f>
        <v>#N/A</v>
      </c>
      <c r="AC62" s="352" t="str">
        <f t="shared" si="40"/>
        <v>0</v>
      </c>
      <c r="AD62" s="352" t="e">
        <f t="shared" si="41"/>
        <v>#N/A</v>
      </c>
      <c r="AE62" s="352" t="e">
        <f t="shared" si="42"/>
        <v>#N/A</v>
      </c>
      <c r="AF62" s="352" t="e">
        <f t="shared" si="43"/>
        <v>#N/A</v>
      </c>
      <c r="AG62" s="237" t="e">
        <f>IF(AE62="","",VLOOKUP(IF(OR(AND($AV$9=TRUE,$AN$9=D62),AND($AW$9=TRUE,$AO$9=D62),AND($AX$9=TRUE,$AP$9=D62,E62&lt;50),AND($AU$9=TRUE,$AM$9=D62)),AE62,AF62),入力補助!$Z$3:$AA$94,2,FALSE))</f>
        <v>#N/A</v>
      </c>
      <c r="AH62" s="238" t="str">
        <f t="shared" si="44"/>
        <v/>
      </c>
      <c r="AI62" s="237" t="str">
        <f t="shared" si="45"/>
        <v/>
      </c>
      <c r="AJ62" s="239" t="str">
        <f>IFERROR(VLOOKUP(N62,コード表!$B$6:$BJ$3006,MATCH(AD62,コード表!$B$6:$BJ$6,0)),"")</f>
        <v/>
      </c>
    </row>
    <row r="63" spans="1:36" ht="20.399999999999999" customHeight="1">
      <c r="A63" s="384"/>
      <c r="C63" s="420"/>
      <c r="D63" s="418"/>
      <c r="E63" s="442"/>
      <c r="F63" s="420"/>
      <c r="G63" s="294" t="str">
        <f t="shared" ref="G63" si="46">IF(D63="","",IF(F63="",G62,W63*6+IF(X63=0,0,IF(X63=1,1,IF(X63&lt;5,2,IF(X63&lt;11,3,IF(X63&lt;16,4,IF(X63&lt;21,5,IF(X63&lt;30,6,0)))))))))</f>
        <v/>
      </c>
      <c r="H63" s="296" t="str">
        <f t="shared" si="13"/>
        <v/>
      </c>
      <c r="I63" s="422"/>
      <c r="J63" s="298" t="str">
        <f t="shared" ref="J63" si="47">IF(D63="","",IF(I63="",J62,IF(I63&lt;10,ROUND(42*(I63^0.33)/60,1),IF(I63&lt;600,ROUND(19*(I63^0.67)/60,1),ROUND(2.8*(I63^0.97)/60,1)))))</f>
        <v/>
      </c>
      <c r="K63" s="420"/>
      <c r="L63" s="300" t="str">
        <f t="shared" si="15"/>
        <v/>
      </c>
      <c r="M63" s="424"/>
      <c r="N63" s="302" t="str">
        <f t="shared" ref="N63" si="48">IF(_xlfn.AGGREGATE(9,3,Y63,J63,L63,M63)=0,"",_xlfn.AGGREGATE(9,3,Y63,J63,L63,M63))</f>
        <v/>
      </c>
      <c r="O63" s="426"/>
      <c r="P63" s="324" t="str">
        <f>IF(D63="","",IFERROR(VLOOKUP(AD63,入力補助!$U$3:$V$94,2,FALSE),""))</f>
        <v/>
      </c>
      <c r="Q63" s="295" t="str">
        <f t="shared" ref="Q63" si="49">IF(AJ63="",IFERROR(IF(AI63&lt;10,ROUND(AI63,1),ROUND(AI63,0)),""),"")</f>
        <v/>
      </c>
      <c r="R63" s="428"/>
      <c r="S63" s="304" t="str">
        <f t="shared" ref="S63" si="50">IF(D63="","",IF(ISNUMBER(R63)=TRUE,R63,IF(ISNUMBER(AJ63)=TRUE,ROUND(AJ63,2),IF(ISNUMBER(P63)=TRUE,ROUND(P63*Q63/1000,2),ROUND(O63*Q63/1000,2)))))</f>
        <v/>
      </c>
      <c r="T63" s="352" t="str">
        <f t="shared" ref="T63" si="51">IF(D63="SUS","S",IF(D63="VSP","V",IF(D63="COP","C","")))</f>
        <v/>
      </c>
      <c r="U63" s="339" t="str">
        <f t="shared" si="11"/>
        <v/>
      </c>
      <c r="W63" s="352">
        <f t="shared" ref="W63" si="52">ROUNDDOWN(F63/30,0)</f>
        <v>0</v>
      </c>
      <c r="X63" s="352">
        <f t="shared" ref="X63" si="53">F63-W63*30</f>
        <v>0</v>
      </c>
      <c r="Y63" s="352" t="e">
        <f t="shared" ref="Y63" si="54">G63*H63</f>
        <v>#VALUE!</v>
      </c>
      <c r="Z63" s="352" t="e">
        <f>VLOOKUP(D63,入力補助!$C$2:$Q$44,14,FALSE)</f>
        <v>#N/A</v>
      </c>
      <c r="AA63" s="352" t="e">
        <f>VLOOKUP(D63,入力補助!$C$2:$Q$44,15,FALSE)</f>
        <v>#N/A</v>
      </c>
      <c r="AB63" s="352" t="e">
        <f>VLOOKUP(D63,入力補助!$C$2:$R$44,16,FALSE)</f>
        <v>#N/A</v>
      </c>
      <c r="AC63" s="352" t="str">
        <f t="shared" ref="AC63" si="55">IF(LEN(E63)=3,E63,0&amp;E63)</f>
        <v>0</v>
      </c>
      <c r="AD63" s="352" t="e">
        <f t="shared" ref="AD63" si="56">Z63&amp;AC63</f>
        <v>#N/A</v>
      </c>
      <c r="AE63" s="352" t="e">
        <f t="shared" ref="AE63" si="57">AA63&amp;AC63</f>
        <v>#N/A</v>
      </c>
      <c r="AF63" s="352" t="e">
        <f t="shared" ref="AF63" si="58">AB63&amp;AC63</f>
        <v>#N/A</v>
      </c>
      <c r="AG63" s="237" t="e">
        <f>IF(AE63="","",VLOOKUP(IF(OR(AND($AV$9=TRUE,$AN$9=D63),AND($AW$9=TRUE,$AO$9=D63),AND($AX$9=TRUE,$AP$9=D63,E63&lt;50),AND($AU$9=TRUE,$AM$9=D63)),AE63,AF63),入力補助!$Z$3:$AA$94,2,FALSE))</f>
        <v>#N/A</v>
      </c>
      <c r="AH63" s="238" t="str">
        <f t="shared" ref="AH63" si="59">IF(N63="","",((N63/1000)/((AG63/1000)^2*3.14/4)))</f>
        <v/>
      </c>
      <c r="AI63" s="237" t="str">
        <f t="shared" ref="AI63" si="60">IF(N63="","",IF(AG63&gt;60,ROUND((10.666*110^-1.85*(AG63/1000)^-4.87*(N63/1000)^1.85*1)*1000,1),ROUND(((0.0126+((0.01739-0.1087*(AG63/1000))/SQRT(AH63)))*(1/(AG63/1000))*((AH63^2)/(2*9.8))*1000),2)))</f>
        <v/>
      </c>
      <c r="AJ63" s="239" t="str">
        <f>IFERROR(VLOOKUP(N63,コード表!$B$6:$BJ$3006,MATCH(AD63,コード表!$B$6:$BJ$6,0)),"")</f>
        <v/>
      </c>
    </row>
    <row r="64" spans="1:36" ht="20.399999999999999" customHeight="1">
      <c r="C64" s="514" t="s">
        <v>227</v>
      </c>
      <c r="D64" s="515"/>
      <c r="E64" s="516"/>
      <c r="F64" s="527" t="s">
        <v>228</v>
      </c>
      <c r="G64" s="528"/>
      <c r="H64" s="311">
        <f>SUMIF($T$15:$T$63,"S",$S$15:$S$63)+SUMIF(T15:T63,"C",S15:S63)</f>
        <v>0</v>
      </c>
      <c r="I64" s="312" t="s">
        <v>332</v>
      </c>
      <c r="J64" s="313">
        <f>H64</f>
        <v>0</v>
      </c>
      <c r="K64" s="317"/>
      <c r="L64" s="318"/>
      <c r="M64" s="318"/>
      <c r="N64" s="318"/>
      <c r="O64" s="318"/>
      <c r="P64" s="318"/>
      <c r="Q64" s="318"/>
      <c r="R64" s="321"/>
      <c r="S64" s="304">
        <f>J64</f>
        <v>0</v>
      </c>
    </row>
    <row r="65" spans="3:19" ht="20.399999999999999" customHeight="1">
      <c r="C65" s="514" t="s">
        <v>335</v>
      </c>
      <c r="D65" s="515"/>
      <c r="E65" s="516"/>
      <c r="F65" s="527" t="s">
        <v>70</v>
      </c>
      <c r="G65" s="528"/>
      <c r="H65" s="314">
        <f>SUMIF($T$15:$T$53,"V",$S$15:$S$53)</f>
        <v>0</v>
      </c>
      <c r="I65" s="315" t="s">
        <v>333</v>
      </c>
      <c r="J65" s="316">
        <f>ROUND(H65*0.2,2)</f>
        <v>0</v>
      </c>
      <c r="K65" s="287"/>
      <c r="L65" s="272"/>
      <c r="M65" s="272"/>
      <c r="N65" s="272"/>
      <c r="O65" s="272"/>
      <c r="P65" s="272"/>
      <c r="Q65" s="272"/>
      <c r="R65" s="319"/>
      <c r="S65" s="304">
        <f>J65</f>
        <v>0</v>
      </c>
    </row>
    <row r="66" spans="3:19" ht="20.399999999999999" customHeight="1">
      <c r="C66" s="514" t="s">
        <v>227</v>
      </c>
      <c r="D66" s="515"/>
      <c r="E66" s="516"/>
      <c r="F66" s="529" t="s">
        <v>70</v>
      </c>
      <c r="G66" s="530"/>
      <c r="H66" s="445" t="str">
        <f>"（"&amp;H65</f>
        <v>（0</v>
      </c>
      <c r="I66" s="315" t="str">
        <f>"+"&amp;J65&amp;"）"</f>
        <v>+0）</v>
      </c>
      <c r="J66" s="315" t="s">
        <v>334</v>
      </c>
      <c r="K66" s="316">
        <f>(H65+J65)*2</f>
        <v>0</v>
      </c>
      <c r="L66" s="272"/>
      <c r="M66" s="272"/>
      <c r="N66" s="272"/>
      <c r="O66" s="272"/>
      <c r="P66" s="272"/>
      <c r="Q66" s="272"/>
      <c r="R66" s="319"/>
      <c r="S66" s="304">
        <f>K66</f>
        <v>0</v>
      </c>
    </row>
    <row r="67" spans="3:19" ht="20.399999999999999" customHeight="1">
      <c r="C67" s="514" t="s">
        <v>226</v>
      </c>
      <c r="D67" s="515"/>
      <c r="E67" s="516"/>
      <c r="F67" s="531"/>
      <c r="G67" s="532"/>
      <c r="H67" s="532"/>
      <c r="I67" s="532"/>
      <c r="J67" s="532"/>
      <c r="K67" s="532"/>
      <c r="L67" s="532"/>
      <c r="M67" s="532"/>
      <c r="N67" s="532"/>
      <c r="O67" s="532"/>
      <c r="P67" s="532"/>
      <c r="Q67" s="532"/>
      <c r="R67" s="533"/>
      <c r="S67" s="430"/>
    </row>
    <row r="68" spans="3:19" ht="26.1" customHeight="1" thickBot="1">
      <c r="C68" s="542" t="s">
        <v>225</v>
      </c>
      <c r="D68" s="543"/>
      <c r="E68" s="544"/>
      <c r="F68" s="5"/>
      <c r="G68" s="6"/>
      <c r="H68" s="6"/>
      <c r="I68" s="6"/>
      <c r="J68" s="6"/>
      <c r="K68" s="6"/>
      <c r="L68" s="6"/>
      <c r="M68" s="6"/>
      <c r="N68" s="545"/>
      <c r="O68" s="545"/>
      <c r="P68" s="545"/>
      <c r="Q68" s="545"/>
      <c r="R68" s="546"/>
      <c r="S68" s="374">
        <f>SUM(S15:S67)</f>
        <v>0</v>
      </c>
    </row>
    <row r="70" spans="3:19" ht="22.2">
      <c r="C70" s="503" t="s">
        <v>220</v>
      </c>
      <c r="D70" s="559" t="str">
        <f>IF(D76="（2）に入力有","","上記計算結果より、直結加圧装置の吐出圧を")</f>
        <v>上記計算結果より、直結加圧装置の吐出圧を</v>
      </c>
      <c r="E70" s="560"/>
      <c r="F70" s="560"/>
      <c r="G70" s="560"/>
      <c r="H70" s="560"/>
      <c r="I70" s="534" t="str">
        <f>IF(D76="（2）に入力有","",S68&amp;"ｍ ≒")</f>
        <v>0ｍ ≒</v>
      </c>
      <c r="J70" s="534"/>
      <c r="K70" s="375">
        <f>IF(D76="（2）に入力有","",ROUNDUP(S68,0))</f>
        <v>0</v>
      </c>
      <c r="L70" s="535" t="str">
        <f>IF(D76="（2）に入力有","","("&amp;K70/100&amp;"MPa)に設定する。")</f>
        <v>(0MPa)に設定する。</v>
      </c>
      <c r="M70" s="535"/>
      <c r="N70" s="535"/>
      <c r="O70" s="535"/>
      <c r="P70" s="535"/>
      <c r="Q70" s="378"/>
      <c r="R70" s="507" t="s">
        <v>407</v>
      </c>
      <c r="S70" s="286" t="s">
        <v>221</v>
      </c>
    </row>
    <row r="71" spans="3:19" ht="21.9" customHeight="1">
      <c r="C71" s="503"/>
      <c r="D71" s="561" t="str">
        <f>IF(D76="（2）に入力有","","直結加圧装置による増圧分は")</f>
        <v>直結加圧装置による増圧分は</v>
      </c>
      <c r="E71" s="550"/>
      <c r="F71" s="550"/>
      <c r="G71" s="550"/>
      <c r="H71" s="550"/>
      <c r="I71" s="376">
        <f>IF(D76="（2）に入力有","",K70)</f>
        <v>0</v>
      </c>
      <c r="J71" s="547" t="str">
        <f>IF(D76="（2）に入力有","","(吐出圧設定) -")</f>
        <v>(吐出圧設定) -</v>
      </c>
      <c r="K71" s="547"/>
      <c r="L71" s="377">
        <f>IF(D76="（2）に入力有","",'水理計算書(直結加圧装置まで)'!S61)</f>
        <v>0</v>
      </c>
      <c r="M71" s="547" t="str">
        <f>IF(D76="（2）に入力有","","m(流入有効水圧)")</f>
        <v>m(流入有効水圧)</v>
      </c>
      <c r="N71" s="547"/>
      <c r="O71" s="383" t="str">
        <f>IF(D76="（2）に入力有","","= "&amp;I71-L71&amp;"ｍ")</f>
        <v>= 0ｍ</v>
      </c>
      <c r="P71" s="548" t="str">
        <f>IF(D76="（2）に入力有","","≒ "&amp;ROUNDUP(I71-L71,0)&amp;".0 ｍ")</f>
        <v>≒ 0.0 ｍ</v>
      </c>
      <c r="Q71" s="548"/>
      <c r="R71" s="508"/>
      <c r="S71" s="491"/>
    </row>
    <row r="72" spans="3:19" ht="22.5" customHeight="1">
      <c r="C72" s="503"/>
      <c r="D72" s="380"/>
      <c r="E72" s="549" t="str">
        <f>IF(D76="（2）に入力有","","この時の全流量は")</f>
        <v>この時の全流量は</v>
      </c>
      <c r="F72" s="550"/>
      <c r="G72" s="550"/>
      <c r="H72" s="550"/>
      <c r="I72" s="371" t="e">
        <f>IF(D76="（2）に入力有","",VLOOKUP(COUNT('水理計算書(直結加圧装置まで)'!N14:N53),'水理計算書(直結加圧装置まで)'!A14:N53,14,FALSE))</f>
        <v>#N/A</v>
      </c>
      <c r="J72" s="371" t="str">
        <f>IF(D76="（2）に入力有","","(l/s)")</f>
        <v>(l/s)</v>
      </c>
      <c r="K72" s="386" t="str">
        <f>IF(D76="（2）に入力有","","＝")</f>
        <v>＝</v>
      </c>
      <c r="L72" s="371" t="e">
        <f>IF(D76="（2）に入力有","",I72*60)</f>
        <v>#N/A</v>
      </c>
      <c r="M72" s="371" t="str">
        <f>IF(D76="（2）に入力有","","(l/min)")</f>
        <v>(l/min)</v>
      </c>
      <c r="N72" s="379"/>
      <c r="O72" s="379"/>
      <c r="P72" s="379"/>
      <c r="Q72" s="379"/>
      <c r="R72" s="508"/>
      <c r="S72" s="492"/>
    </row>
    <row r="73" spans="3:19" ht="22.5" customHeight="1">
      <c r="C73" s="503"/>
      <c r="D73" s="380"/>
      <c r="E73" s="549" t="str">
        <f>IF(D76="（2）に入力有","","したがって、流量")</f>
        <v>したがって、流量</v>
      </c>
      <c r="F73" s="550"/>
      <c r="G73" s="550"/>
      <c r="H73" s="550"/>
      <c r="I73" s="371" t="e">
        <f>IF(D76="（2）に入力有","",L72)</f>
        <v>#N/A</v>
      </c>
      <c r="J73" s="371" t="str">
        <f>IF(D76="（2）に入力有","","(l/min)")</f>
        <v>(l/min)</v>
      </c>
      <c r="K73" s="385" t="str">
        <f>IF(D76="（2）に入力有","","において全揚程")</f>
        <v>において全揚程</v>
      </c>
      <c r="L73" s="379"/>
      <c r="M73" s="387">
        <f>IF(D76="（2）に入力有","",ROUNDUP(I71-L71,0))</f>
        <v>0</v>
      </c>
      <c r="N73" s="385" t="str">
        <f>IF(D76="（2）に入力有","","以上を満足するポンプを選定する。")</f>
        <v>以上を満足するポンプを選定する。</v>
      </c>
      <c r="O73" s="379"/>
      <c r="P73" s="379"/>
      <c r="Q73" s="379"/>
      <c r="R73" s="508"/>
      <c r="S73" s="492"/>
    </row>
    <row r="74" spans="3:19" ht="20.399999999999999" customHeight="1">
      <c r="C74" s="503"/>
      <c r="D74" s="381"/>
      <c r="E74" s="382"/>
      <c r="F74" s="382"/>
      <c r="G74" s="382"/>
      <c r="H74" s="382"/>
      <c r="I74" s="382"/>
      <c r="J74" s="382"/>
      <c r="K74" s="382"/>
      <c r="L74" s="382"/>
      <c r="M74" s="382"/>
      <c r="N74" s="382"/>
      <c r="O74" s="382"/>
      <c r="P74" s="382"/>
      <c r="Q74" s="382"/>
      <c r="R74" s="509"/>
      <c r="S74" s="493"/>
    </row>
    <row r="75" spans="3:19" s="444" customFormat="1" ht="20.399999999999999" customHeight="1">
      <c r="C75" s="446"/>
      <c r="D75" s="379"/>
      <c r="E75" s="379"/>
      <c r="F75" s="379"/>
      <c r="G75" s="379"/>
      <c r="H75" s="379"/>
      <c r="I75" s="379"/>
      <c r="J75" s="379"/>
      <c r="K75" s="379"/>
      <c r="L75" s="379"/>
      <c r="M75" s="379"/>
      <c r="N75" s="379"/>
      <c r="O75" s="379"/>
      <c r="P75" s="379"/>
      <c r="Q75" s="379"/>
      <c r="R75" s="447"/>
      <c r="S75" s="448" t="str">
        <f>'水理計算書(直結加圧装置まで)'!S68</f>
        <v>Ver.1.00.3</v>
      </c>
    </row>
    <row r="76" spans="3:19" ht="18.75" customHeight="1">
      <c r="D76" s="551" t="str">
        <f>IF(COUNTA('水理計算書 (直結加圧装置下流) (2)'!D16:D64)&gt;0,"（2）に入力有","")</f>
        <v/>
      </c>
      <c r="E76" s="551"/>
      <c r="F76" s="551"/>
      <c r="G76" s="553" t="s">
        <v>396</v>
      </c>
      <c r="H76" s="553"/>
      <c r="I76" s="553"/>
      <c r="J76" s="553"/>
      <c r="K76" s="553"/>
      <c r="L76" s="553"/>
      <c r="M76" s="553"/>
      <c r="N76" s="553"/>
      <c r="O76" s="553"/>
      <c r="P76" s="553"/>
      <c r="Q76" s="553"/>
      <c r="R76" s="553"/>
      <c r="S76" s="553"/>
    </row>
    <row r="77" spans="3:19" ht="18.75" customHeight="1">
      <c r="D77" s="552"/>
      <c r="E77" s="552"/>
      <c r="F77" s="552"/>
      <c r="G77" s="554"/>
      <c r="H77" s="554"/>
      <c r="I77" s="554"/>
      <c r="J77" s="554"/>
      <c r="K77" s="554"/>
      <c r="L77" s="554"/>
      <c r="M77" s="554"/>
      <c r="N77" s="554"/>
      <c r="O77" s="554"/>
      <c r="P77" s="554"/>
      <c r="Q77" s="554"/>
      <c r="R77" s="554"/>
      <c r="S77" s="554"/>
    </row>
    <row r="78" spans="3:19" ht="18.75" customHeight="1">
      <c r="D78" s="552"/>
      <c r="E78" s="552"/>
      <c r="F78" s="552"/>
      <c r="G78" s="554"/>
      <c r="H78" s="554"/>
      <c r="I78" s="554"/>
      <c r="J78" s="554"/>
      <c r="K78" s="554"/>
      <c r="L78" s="554"/>
      <c r="M78" s="554"/>
      <c r="N78" s="554"/>
      <c r="O78" s="554"/>
      <c r="P78" s="554"/>
      <c r="Q78" s="554"/>
      <c r="R78" s="554"/>
      <c r="S78" s="554"/>
    </row>
  </sheetData>
  <sheetProtection algorithmName="SHA-512" hashValue="pQkW3OjF1f8BIXc1sDhQeY3wlcuCL/n7oLpbYK1Oar0zG41gTwf/UUHTpZzBmkXvv4359vgk5Rzv5/YlG24meQ==" saltValue="fuVR+p2p5rcPovIlALqzBw==" spinCount="100000" sheet="1" formatCells="0" formatRows="0"/>
  <dataConsolidate/>
  <mergeCells count="55">
    <mergeCell ref="F67:R67"/>
    <mergeCell ref="D76:F78"/>
    <mergeCell ref="G76:S78"/>
    <mergeCell ref="AS5:AZ5"/>
    <mergeCell ref="V6:AL7"/>
    <mergeCell ref="AM6:AN7"/>
    <mergeCell ref="AO6:AT7"/>
    <mergeCell ref="V9:AL9"/>
    <mergeCell ref="AQ9:AS9"/>
    <mergeCell ref="S71:S74"/>
    <mergeCell ref="D70:H70"/>
    <mergeCell ref="C65:E65"/>
    <mergeCell ref="F65:G65"/>
    <mergeCell ref="R70:R74"/>
    <mergeCell ref="D71:H71"/>
    <mergeCell ref="J71:K71"/>
    <mergeCell ref="C68:E68"/>
    <mergeCell ref="N68:R68"/>
    <mergeCell ref="C70:C74"/>
    <mergeCell ref="M71:N71"/>
    <mergeCell ref="P71:Q71"/>
    <mergeCell ref="E72:H72"/>
    <mergeCell ref="E73:H73"/>
    <mergeCell ref="C66:E66"/>
    <mergeCell ref="F66:G66"/>
    <mergeCell ref="S12:S13"/>
    <mergeCell ref="V10:AD12"/>
    <mergeCell ref="B1:T3"/>
    <mergeCell ref="O4:T4"/>
    <mergeCell ref="C5:D7"/>
    <mergeCell ref="E5:K7"/>
    <mergeCell ref="L5:M5"/>
    <mergeCell ref="N5:S5"/>
    <mergeCell ref="L6:M6"/>
    <mergeCell ref="N6:S6"/>
    <mergeCell ref="L7:M7"/>
    <mergeCell ref="N7:S7"/>
    <mergeCell ref="V4:AR5"/>
    <mergeCell ref="C9:S9"/>
    <mergeCell ref="C67:E67"/>
    <mergeCell ref="I70:J70"/>
    <mergeCell ref="L70:P70"/>
    <mergeCell ref="AG12:AI12"/>
    <mergeCell ref="C64:E64"/>
    <mergeCell ref="F64:G64"/>
    <mergeCell ref="C12:C14"/>
    <mergeCell ref="D12:D14"/>
    <mergeCell ref="E12:E13"/>
    <mergeCell ref="F12:F13"/>
    <mergeCell ref="I12:I13"/>
    <mergeCell ref="K12:K13"/>
    <mergeCell ref="O12:O13"/>
    <mergeCell ref="P12:P13"/>
    <mergeCell ref="Q12:Q13"/>
    <mergeCell ref="R12:R13"/>
  </mergeCells>
  <phoneticPr fontId="1"/>
  <conditionalFormatting sqref="O15:O63">
    <cfRule type="expression" dxfId="3" priority="1">
      <formula>AND(ISNUMBER(Q15)=TRUE,P15="")</formula>
    </cfRule>
  </conditionalFormatting>
  <conditionalFormatting sqref="AH15:AH63">
    <cfRule type="cellIs" dxfId="2" priority="2" stopIfTrue="1" operator="greaterThan">
      <formula>2</formula>
    </cfRule>
  </conditionalFormatting>
  <dataValidations count="2">
    <dataValidation type="list" allowBlank="1" showInputMessage="1" sqref="E15:E63" xr:uid="{3F7F95EA-DC73-4138-B7C3-392B47005CCB}">
      <formula1>INDIRECT(D15)</formula1>
    </dataValidation>
    <dataValidation allowBlank="1" showInputMessage="1" sqref="R75" xr:uid="{9D158555-8142-4773-9150-F7C9CA013F78}"/>
  </dataValidations>
  <pageMargins left="0.23622047244094491" right="0.23622047244094491" top="0.74803149606299213" bottom="0.74803149606299213" header="0.31496062992125984" footer="0.31496062992125984"/>
  <pageSetup paperSize="9" scale="47" orientation="portrait" blackAndWhite="1" r:id="rId1"/>
  <colBreaks count="1" manualBreakCount="1">
    <brk id="21" max="6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37</xdr:col>
                    <xdr:colOff>457200</xdr:colOff>
                    <xdr:row>7</xdr:row>
                    <xdr:rowOff>289560</xdr:rowOff>
                  </from>
                  <to>
                    <xdr:col>38</xdr:col>
                    <xdr:colOff>426720</xdr:colOff>
                    <xdr:row>8</xdr:row>
                    <xdr:rowOff>525780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38</xdr:col>
                    <xdr:colOff>449580</xdr:colOff>
                    <xdr:row>8</xdr:row>
                    <xdr:rowOff>30480</xdr:rowOff>
                  </from>
                  <to>
                    <xdr:col>39</xdr:col>
                    <xdr:colOff>365760</xdr:colOff>
                    <xdr:row>8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39</xdr:col>
                    <xdr:colOff>449580</xdr:colOff>
                    <xdr:row>8</xdr:row>
                    <xdr:rowOff>114300</xdr:rowOff>
                  </from>
                  <to>
                    <xdr:col>40</xdr:col>
                    <xdr:colOff>480060</xdr:colOff>
                    <xdr:row>8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40</xdr:col>
                    <xdr:colOff>449580</xdr:colOff>
                    <xdr:row>8</xdr:row>
                    <xdr:rowOff>76200</xdr:rowOff>
                  </from>
                  <to>
                    <xdr:col>41</xdr:col>
                    <xdr:colOff>495300</xdr:colOff>
                    <xdr:row>8</xdr:row>
                    <xdr:rowOff>457200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D9727A42-8D8E-4E4E-8351-E30953EBCFB0}">
          <x14:formula1>
            <xm:f>入力補助!$B$2:$B$26</xm:f>
          </x14:formula1>
          <xm:sqref>C15:C63</xm:sqref>
        </x14:dataValidation>
        <x14:dataValidation type="list" allowBlank="1" showInputMessage="1" xr:uid="{4E57EC2C-8389-4105-8355-A443D9353103}">
          <x14:formula1>
            <xm:f>入力補助!$C$2:$C$44</xm:f>
          </x14:formula1>
          <xm:sqref>D15:D63</xm:sqref>
        </x14:dataValidation>
        <x14:dataValidation type="list" allowBlank="1" showInputMessage="1" xr:uid="{50B6B8F1-CF88-40DC-9852-1955691605D9}">
          <x14:formula1>
            <xm:f>入力補助!$B$45:$B$48</xm:f>
          </x14:formula1>
          <xm:sqref>R70:R74</xm:sqref>
        </x14:dataValidation>
        <x14:dataValidation type="list" allowBlank="1" showInputMessage="1" xr:uid="{9769420E-61B1-4B15-AACB-410610ACE26C}">
          <x14:formula1>
            <xm:f>入力補助!$A$40:$A$44</xm:f>
          </x14:formula1>
          <xm:sqref>AM6:AN7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5821-EC5C-432D-B15E-D98F0514D607}">
  <dimension ref="A1:AZ76"/>
  <sheetViews>
    <sheetView view="pageBreakPreview" zoomScale="70" zoomScaleNormal="80" zoomScaleSheetLayoutView="70" workbookViewId="0">
      <selection activeCell="D16" sqref="D16"/>
    </sheetView>
  </sheetViews>
  <sheetFormatPr defaultColWidth="8.59765625" defaultRowHeight="18" outlineLevelCol="1"/>
  <cols>
    <col min="1" max="1" width="8.59765625" style="396"/>
    <col min="2" max="2" width="2.5" style="396" customWidth="1"/>
    <col min="3" max="3" width="9.59765625" style="396" customWidth="1"/>
    <col min="4" max="4" width="16.8984375" style="396" customWidth="1"/>
    <col min="5" max="5" width="7.5" style="396" customWidth="1"/>
    <col min="6" max="6" width="9.5" style="396" customWidth="1"/>
    <col min="7" max="8" width="8.3984375" style="396" customWidth="1"/>
    <col min="9" max="9" width="9.3984375" style="396" customWidth="1"/>
    <col min="10" max="10" width="8.3984375" style="396" customWidth="1"/>
    <col min="11" max="11" width="9.5" style="396" customWidth="1"/>
    <col min="12" max="12" width="8.3984375" style="396" customWidth="1"/>
    <col min="13" max="14" width="9.5" style="396" customWidth="1"/>
    <col min="15" max="15" width="10.3984375" style="396" customWidth="1"/>
    <col min="16" max="17" width="8.3984375" style="396" customWidth="1"/>
    <col min="18" max="18" width="10.8984375" style="396" customWidth="1"/>
    <col min="19" max="19" width="18.8984375" style="396" customWidth="1"/>
    <col min="20" max="20" width="3.59765625" style="396" customWidth="1"/>
    <col min="21" max="21" width="8.09765625" style="396" customWidth="1"/>
    <col min="22" max="22" width="8.59765625" style="396"/>
    <col min="23" max="36" width="8.59765625" style="396" hidden="1" customWidth="1" outlineLevel="1"/>
    <col min="37" max="37" width="8.59765625" style="396" collapsed="1"/>
    <col min="38" max="16384" width="8.59765625" style="396"/>
  </cols>
  <sheetData>
    <row r="1" spans="1:52" ht="10.5" customHeight="1">
      <c r="B1" s="484" t="s">
        <v>214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</row>
    <row r="2" spans="1:52" ht="10.5" customHeight="1"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</row>
    <row r="3" spans="1:52" ht="10.5" customHeight="1"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4"/>
    </row>
    <row r="4" spans="1:52" ht="19.8">
      <c r="O4" s="485" t="s">
        <v>215</v>
      </c>
      <c r="P4" s="486"/>
      <c r="Q4" s="486"/>
      <c r="R4" s="486"/>
      <c r="S4" s="486"/>
      <c r="T4" s="486"/>
      <c r="V4" s="459" t="s">
        <v>384</v>
      </c>
      <c r="W4" s="459"/>
      <c r="X4" s="459"/>
      <c r="Y4" s="459"/>
      <c r="Z4" s="459"/>
      <c r="AA4" s="459"/>
      <c r="AB4" s="459"/>
      <c r="AC4" s="459"/>
      <c r="AD4" s="459"/>
      <c r="AE4" s="459"/>
      <c r="AF4" s="459"/>
      <c r="AG4" s="459"/>
      <c r="AH4" s="459"/>
      <c r="AI4" s="459"/>
      <c r="AJ4" s="459"/>
      <c r="AK4" s="459"/>
      <c r="AL4" s="459"/>
      <c r="AM4" s="459"/>
      <c r="AN4" s="459"/>
      <c r="AO4" s="459"/>
      <c r="AP4" s="459"/>
      <c r="AQ4" s="459"/>
      <c r="AR4" s="459"/>
    </row>
    <row r="5" spans="1:52" ht="29.4" customHeight="1" thickBot="1">
      <c r="C5" s="490" t="s">
        <v>219</v>
      </c>
      <c r="D5" s="490"/>
      <c r="E5" s="562" t="str">
        <f>IF('水理計算書(直結加圧装置まで)'!E5="","",'水理計算書(直結加圧装置まで)'!E5)</f>
        <v/>
      </c>
      <c r="F5" s="562"/>
      <c r="G5" s="562"/>
      <c r="H5" s="562"/>
      <c r="I5" s="562"/>
      <c r="J5" s="562"/>
      <c r="K5" s="562"/>
      <c r="L5" s="487" t="s">
        <v>216</v>
      </c>
      <c r="M5" s="487"/>
      <c r="N5" s="538" t="str">
        <f>IF('水理計算書(直結加圧装置まで)'!$N5="","",'水理計算書(直結加圧装置まで)'!$N5)</f>
        <v/>
      </c>
      <c r="O5" s="538"/>
      <c r="P5" s="538"/>
      <c r="Q5" s="538"/>
      <c r="R5" s="538"/>
      <c r="S5" s="538"/>
      <c r="V5" s="459" t="b">
        <v>0</v>
      </c>
      <c r="W5" s="459"/>
      <c r="X5" s="459"/>
      <c r="Y5" s="459"/>
      <c r="Z5" s="459"/>
      <c r="AA5" s="459"/>
      <c r="AB5" s="459"/>
      <c r="AC5" s="459"/>
      <c r="AD5" s="459"/>
      <c r="AE5" s="459"/>
      <c r="AF5" s="459"/>
      <c r="AG5" s="459"/>
      <c r="AH5" s="459"/>
      <c r="AI5" s="459"/>
      <c r="AJ5" s="459"/>
      <c r="AK5" s="459"/>
      <c r="AL5" s="459"/>
      <c r="AM5" s="459"/>
      <c r="AN5" s="459"/>
      <c r="AO5" s="459"/>
      <c r="AP5" s="459"/>
      <c r="AQ5" s="459"/>
      <c r="AR5" s="459"/>
      <c r="AS5" s="460"/>
      <c r="AT5" s="460"/>
      <c r="AU5" s="460"/>
      <c r="AV5" s="460"/>
      <c r="AW5" s="460"/>
      <c r="AX5" s="460"/>
      <c r="AY5" s="460"/>
      <c r="AZ5" s="460"/>
    </row>
    <row r="6" spans="1:52" ht="29.4" customHeight="1">
      <c r="C6" s="490"/>
      <c r="D6" s="490"/>
      <c r="E6" s="562"/>
      <c r="F6" s="562"/>
      <c r="G6" s="562"/>
      <c r="H6" s="562"/>
      <c r="I6" s="562"/>
      <c r="J6" s="562"/>
      <c r="K6" s="562"/>
      <c r="L6" s="487" t="s">
        <v>217</v>
      </c>
      <c r="M6" s="487"/>
      <c r="N6" s="538" t="str">
        <f>IF('水理計算書(直結加圧装置まで)'!$N6="","",'水理計算書(直結加圧装置まで)'!$N6)</f>
        <v/>
      </c>
      <c r="O6" s="538"/>
      <c r="P6" s="538"/>
      <c r="Q6" s="538"/>
      <c r="R6" s="538"/>
      <c r="S6" s="538"/>
      <c r="V6" s="461" t="s">
        <v>385</v>
      </c>
      <c r="W6" s="461"/>
      <c r="X6" s="461"/>
      <c r="Y6" s="461"/>
      <c r="Z6" s="461"/>
      <c r="AA6" s="461"/>
      <c r="AB6" s="461"/>
      <c r="AC6" s="461"/>
      <c r="AD6" s="461"/>
      <c r="AE6" s="461"/>
      <c r="AF6" s="461"/>
      <c r="AG6" s="461"/>
      <c r="AH6" s="461"/>
      <c r="AI6" s="461"/>
      <c r="AJ6" s="461"/>
      <c r="AK6" s="461"/>
      <c r="AL6" s="461"/>
      <c r="AM6" s="555">
        <v>0.2</v>
      </c>
      <c r="AN6" s="556"/>
      <c r="AO6" s="481" t="s">
        <v>386</v>
      </c>
      <c r="AP6" s="482"/>
      <c r="AQ6" s="482"/>
      <c r="AR6" s="482"/>
      <c r="AS6" s="482"/>
      <c r="AT6" s="482"/>
    </row>
    <row r="7" spans="1:52" ht="29.4" customHeight="1" thickBot="1">
      <c r="C7" s="490"/>
      <c r="D7" s="490"/>
      <c r="E7" s="562"/>
      <c r="F7" s="562"/>
      <c r="G7" s="562"/>
      <c r="H7" s="562"/>
      <c r="I7" s="562"/>
      <c r="J7" s="562"/>
      <c r="K7" s="562"/>
      <c r="L7" s="487" t="s">
        <v>218</v>
      </c>
      <c r="M7" s="487"/>
      <c r="N7" s="538" t="str">
        <f>IF('水理計算書(直結加圧装置まで)'!$N7="","",'水理計算書(直結加圧装置まで)'!$N7)</f>
        <v/>
      </c>
      <c r="O7" s="538"/>
      <c r="P7" s="538"/>
      <c r="Q7" s="538"/>
      <c r="R7" s="538"/>
      <c r="S7" s="538"/>
      <c r="V7" s="461"/>
      <c r="W7" s="461"/>
      <c r="X7" s="461"/>
      <c r="Y7" s="461"/>
      <c r="Z7" s="461"/>
      <c r="AA7" s="461"/>
      <c r="AB7" s="461"/>
      <c r="AC7" s="461"/>
      <c r="AD7" s="461"/>
      <c r="AE7" s="461"/>
      <c r="AF7" s="461"/>
      <c r="AG7" s="461"/>
      <c r="AH7" s="461"/>
      <c r="AI7" s="461"/>
      <c r="AJ7" s="461"/>
      <c r="AK7" s="461"/>
      <c r="AL7" s="461"/>
      <c r="AM7" s="557"/>
      <c r="AN7" s="558"/>
      <c r="AO7" s="481"/>
      <c r="AP7" s="482"/>
      <c r="AQ7" s="482"/>
      <c r="AR7" s="482"/>
      <c r="AS7" s="482"/>
      <c r="AT7" s="482"/>
    </row>
    <row r="8" spans="1:52" ht="6" customHeight="1" thickBot="1">
      <c r="C8" s="393"/>
      <c r="D8" s="393"/>
      <c r="E8" s="272"/>
      <c r="F8" s="272"/>
      <c r="G8" s="272"/>
      <c r="H8" s="272"/>
      <c r="I8" s="272"/>
      <c r="J8" s="272"/>
      <c r="K8" s="272"/>
      <c r="L8" s="394"/>
      <c r="M8" s="394"/>
      <c r="N8" s="395"/>
      <c r="O8" s="395"/>
      <c r="P8" s="395"/>
      <c r="Q8" s="395"/>
      <c r="R8" s="395"/>
      <c r="S8" s="395"/>
    </row>
    <row r="9" spans="1:52" ht="42" customHeight="1" thickBot="1">
      <c r="C9" s="563"/>
      <c r="D9" s="564"/>
      <c r="E9" s="564"/>
      <c r="F9" s="564"/>
      <c r="G9" s="564"/>
      <c r="H9" s="564"/>
      <c r="I9" s="564"/>
      <c r="J9" s="564"/>
      <c r="K9" s="564"/>
      <c r="L9" s="564"/>
      <c r="M9" s="564"/>
      <c r="N9" s="564"/>
      <c r="O9" s="564"/>
      <c r="P9" s="564"/>
      <c r="Q9" s="564"/>
      <c r="R9" s="564"/>
      <c r="S9" s="565"/>
      <c r="V9" s="483" t="s">
        <v>387</v>
      </c>
      <c r="W9" s="483"/>
      <c r="X9" s="483"/>
      <c r="Y9" s="483"/>
      <c r="Z9" s="483"/>
      <c r="AA9" s="483"/>
      <c r="AB9" s="483"/>
      <c r="AC9" s="483"/>
      <c r="AD9" s="483"/>
      <c r="AE9" s="483"/>
      <c r="AF9" s="483"/>
      <c r="AG9" s="483"/>
      <c r="AH9" s="483"/>
      <c r="AI9" s="483"/>
      <c r="AJ9" s="483"/>
      <c r="AK9" s="483"/>
      <c r="AL9" s="483"/>
      <c r="AM9" s="389" t="s">
        <v>72</v>
      </c>
      <c r="AN9" s="389" t="s">
        <v>66</v>
      </c>
      <c r="AO9" s="389" t="s">
        <v>67</v>
      </c>
      <c r="AP9" s="389" t="s">
        <v>65</v>
      </c>
      <c r="AQ9" s="510" t="s">
        <v>388</v>
      </c>
      <c r="AR9" s="510"/>
      <c r="AS9" s="510"/>
      <c r="AT9" s="390"/>
      <c r="AU9" s="391" t="b">
        <v>0</v>
      </c>
      <c r="AV9" s="391" t="b">
        <v>0</v>
      </c>
      <c r="AW9" s="392" t="b">
        <v>0</v>
      </c>
      <c r="AX9" s="392" t="b">
        <v>0</v>
      </c>
    </row>
    <row r="10" spans="1:52" ht="7.5" customHeight="1">
      <c r="V10" s="536"/>
      <c r="W10" s="536"/>
      <c r="X10" s="536"/>
      <c r="Y10" s="536"/>
      <c r="Z10" s="536"/>
      <c r="AA10" s="536"/>
      <c r="AB10" s="536"/>
      <c r="AC10" s="536"/>
      <c r="AD10" s="536"/>
    </row>
    <row r="11" spans="1:52" ht="6.6" customHeight="1" thickBot="1">
      <c r="V11" s="536"/>
      <c r="W11" s="536"/>
      <c r="X11" s="536"/>
      <c r="Y11" s="536"/>
      <c r="Z11" s="536"/>
      <c r="AA11" s="536"/>
      <c r="AB11" s="536"/>
      <c r="AC11" s="536"/>
      <c r="AD11" s="536"/>
    </row>
    <row r="12" spans="1:52" ht="19.8">
      <c r="C12" s="521" t="s">
        <v>0</v>
      </c>
      <c r="D12" s="524" t="s">
        <v>1</v>
      </c>
      <c r="E12" s="466" t="s">
        <v>2</v>
      </c>
      <c r="F12" s="471" t="s">
        <v>3</v>
      </c>
      <c r="G12" s="305" t="s">
        <v>4</v>
      </c>
      <c r="H12" s="276" t="s">
        <v>7</v>
      </c>
      <c r="I12" s="473" t="s">
        <v>5</v>
      </c>
      <c r="J12" s="397" t="s">
        <v>7</v>
      </c>
      <c r="K12" s="471" t="s">
        <v>6</v>
      </c>
      <c r="L12" s="397" t="s">
        <v>7</v>
      </c>
      <c r="M12" s="399" t="s">
        <v>8</v>
      </c>
      <c r="N12" s="278" t="s">
        <v>9</v>
      </c>
      <c r="O12" s="471" t="s">
        <v>14</v>
      </c>
      <c r="P12" s="479" t="s">
        <v>212</v>
      </c>
      <c r="Q12" s="479" t="s">
        <v>15</v>
      </c>
      <c r="R12" s="475" t="s">
        <v>208</v>
      </c>
      <c r="S12" s="477" t="s">
        <v>19</v>
      </c>
      <c r="V12" s="536"/>
      <c r="W12" s="536"/>
      <c r="X12" s="536"/>
      <c r="Y12" s="536"/>
      <c r="Z12" s="536"/>
      <c r="AA12" s="536"/>
      <c r="AB12" s="536"/>
      <c r="AC12" s="536"/>
      <c r="AD12" s="536"/>
      <c r="AG12" s="468" t="s">
        <v>164</v>
      </c>
      <c r="AH12" s="469"/>
      <c r="AI12" s="470"/>
      <c r="AJ12" s="266" t="s">
        <v>201</v>
      </c>
    </row>
    <row r="13" spans="1:52" ht="11.1" customHeight="1">
      <c r="C13" s="522"/>
      <c r="D13" s="525"/>
      <c r="E13" s="467"/>
      <c r="F13" s="472"/>
      <c r="G13" s="401" t="s">
        <v>81</v>
      </c>
      <c r="H13" s="280" t="s">
        <v>77</v>
      </c>
      <c r="I13" s="474"/>
      <c r="J13" s="398" t="s">
        <v>78</v>
      </c>
      <c r="K13" s="472"/>
      <c r="L13" s="398" t="s">
        <v>79</v>
      </c>
      <c r="M13" s="400" t="s">
        <v>80</v>
      </c>
      <c r="N13" s="281" t="s">
        <v>82</v>
      </c>
      <c r="O13" s="472"/>
      <c r="P13" s="480"/>
      <c r="Q13" s="480"/>
      <c r="R13" s="476"/>
      <c r="S13" s="478"/>
      <c r="AG13" s="235" t="s">
        <v>165</v>
      </c>
      <c r="AH13" s="235" t="s">
        <v>166</v>
      </c>
      <c r="AI13" s="235" t="s">
        <v>167</v>
      </c>
      <c r="AJ13" s="235" t="s">
        <v>168</v>
      </c>
    </row>
    <row r="14" spans="1:52" ht="20.399999999999999" thickBot="1">
      <c r="C14" s="523"/>
      <c r="D14" s="526"/>
      <c r="E14" s="330" t="s">
        <v>340</v>
      </c>
      <c r="F14" s="282" t="s">
        <v>10</v>
      </c>
      <c r="G14" s="307" t="s">
        <v>10</v>
      </c>
      <c r="H14" s="284" t="s">
        <v>13</v>
      </c>
      <c r="I14" s="283" t="s">
        <v>11</v>
      </c>
      <c r="J14" s="310" t="s">
        <v>13</v>
      </c>
      <c r="K14" s="282" t="s">
        <v>404</v>
      </c>
      <c r="L14" s="310" t="s">
        <v>13</v>
      </c>
      <c r="M14" s="283" t="s">
        <v>13</v>
      </c>
      <c r="N14" s="285" t="s">
        <v>13</v>
      </c>
      <c r="O14" s="282" t="s">
        <v>17</v>
      </c>
      <c r="P14" s="307" t="s">
        <v>17</v>
      </c>
      <c r="Q14" s="307" t="s">
        <v>18</v>
      </c>
      <c r="R14" s="284" t="s">
        <v>17</v>
      </c>
      <c r="S14" s="284" t="s">
        <v>16</v>
      </c>
      <c r="U14" s="396" t="s">
        <v>351</v>
      </c>
      <c r="W14" s="7" t="s">
        <v>83</v>
      </c>
      <c r="X14" s="7" t="s">
        <v>84</v>
      </c>
      <c r="Y14" s="7" t="s">
        <v>85</v>
      </c>
      <c r="Z14" s="12" t="s">
        <v>130</v>
      </c>
      <c r="AA14" s="12" t="s">
        <v>337</v>
      </c>
      <c r="AB14" s="12" t="s">
        <v>338</v>
      </c>
      <c r="AC14" s="12" t="s">
        <v>131</v>
      </c>
      <c r="AD14" s="12" t="s">
        <v>195</v>
      </c>
      <c r="AE14" s="12" t="s">
        <v>196</v>
      </c>
      <c r="AF14" s="12" t="s">
        <v>339</v>
      </c>
      <c r="AG14" s="236" t="s">
        <v>169</v>
      </c>
      <c r="AH14" s="236" t="s">
        <v>170</v>
      </c>
      <c r="AI14" s="236" t="s">
        <v>171</v>
      </c>
      <c r="AJ14" s="236" t="s">
        <v>172</v>
      </c>
    </row>
    <row r="15" spans="1:52" ht="20.25" customHeight="1">
      <c r="C15" s="404"/>
      <c r="D15" s="443" t="s">
        <v>389</v>
      </c>
      <c r="E15" s="405"/>
      <c r="F15" s="404"/>
      <c r="G15" s="406"/>
      <c r="H15" s="407"/>
      <c r="I15" s="408"/>
      <c r="J15" s="409"/>
      <c r="K15" s="404"/>
      <c r="L15" s="410"/>
      <c r="M15" s="411"/>
      <c r="N15" s="412"/>
      <c r="O15" s="413"/>
      <c r="P15" s="414"/>
      <c r="Q15" s="293"/>
      <c r="R15" s="415"/>
      <c r="S15" s="303">
        <f>'水理計算書 (直結加圧装置下流) (1)'!$S$68</f>
        <v>0</v>
      </c>
      <c r="W15" s="7"/>
      <c r="X15" s="7"/>
      <c r="Y15" s="7"/>
      <c r="Z15" s="12"/>
      <c r="AA15" s="12"/>
      <c r="AB15" s="12"/>
      <c r="AC15" s="12"/>
      <c r="AD15" s="12"/>
      <c r="AE15" s="12"/>
      <c r="AF15" s="12"/>
      <c r="AG15" s="402"/>
      <c r="AH15" s="402"/>
      <c r="AI15" s="402"/>
      <c r="AJ15" s="402"/>
    </row>
    <row r="16" spans="1:52" ht="20.399999999999999" customHeight="1">
      <c r="A16" s="384"/>
      <c r="C16" s="420"/>
      <c r="D16" s="418"/>
      <c r="E16" s="442"/>
      <c r="F16" s="420"/>
      <c r="G16" s="294" t="str">
        <f>IF(F16="","",W16*6+IF(X16=0,0,IF(X16=1,1,IF(X16&lt;5,2,IF(X16&lt;11,3,IF(X16&lt;16,4,IF(X16&lt;21,5,IF(X16&lt;30,6,0))))))))</f>
        <v/>
      </c>
      <c r="H16" s="403" t="str">
        <f>IF(F16="","",$AM$6)</f>
        <v/>
      </c>
      <c r="I16" s="422"/>
      <c r="J16" s="298" t="str">
        <f>IF(I16="","",IF(I16&lt;10,ROUND(42*(I16^0.33)/60,1),IF(I16&lt;600,ROUND(19*(I16^0.67)/60,1),ROUND(2.8*(I16^0.97)/60,1))))</f>
        <v/>
      </c>
      <c r="K16" s="420"/>
      <c r="L16" s="300" t="str">
        <f>IF(K16="","",IF(K16&lt;31,ROUND(26*(K16^0.36)/60,1),IF(K16&lt;301,ROUND(13*(K16^0.56)/60,1),ROUND(6.9*(K16^0.67)/60,1))))</f>
        <v/>
      </c>
      <c r="M16" s="424"/>
      <c r="N16" s="302" t="str">
        <f t="shared" ref="N16:N64" si="0">IF(_xlfn.AGGREGATE(9,3,Y16,J16,L16,M16)=0,"",_xlfn.AGGREGATE(9,3,Y16,J16,L16,M16))</f>
        <v/>
      </c>
      <c r="O16" s="426"/>
      <c r="P16" s="324" t="str">
        <f>IF(D16="","",IFERROR(VLOOKUP(AD16,入力補助!$U$3:$V$94,2,FALSE),""))</f>
        <v/>
      </c>
      <c r="Q16" s="295" t="str">
        <f>IF(AJ16="",IFERROR(IF(AI16&lt;10,ROUND(AI16,1),ROUND(AI16,0)),""),"")</f>
        <v/>
      </c>
      <c r="R16" s="428"/>
      <c r="S16" s="304" t="str">
        <f>IF(D16="","",IF(ISNUMBER(R16)=TRUE,R16,IF(ISNUMBER(AJ16)=TRUE,ROUND(AJ16,2),IF(ISNUMBER(P16)=TRUE,ROUND(P16*Q16/1000,2),ROUND(O16*Q16/1000,2)))))</f>
        <v/>
      </c>
      <c r="T16" s="396" t="str">
        <f>IF(D16="SUS","S",IF(D16="VSP","V",IF(D16="COP","C","")))</f>
        <v/>
      </c>
      <c r="U16" s="339" t="str">
        <f>IFERROR(IF(AND(ROUND(AH16,1)&gt;2,OR(D16="Pe",D16="PeH",D16="HPPE",D16="SUS",D16="PBP",D16="VSP",D16="XPe",D16="VP",D16="COP",D16="HIVP",D16="鋳鉄管",D16="給水管")),"Over",""),"")</f>
        <v/>
      </c>
      <c r="W16" s="396">
        <f t="shared" ref="W16:W64" si="1">ROUNDDOWN(F16/30,0)</f>
        <v>0</v>
      </c>
      <c r="X16" s="396">
        <f t="shared" ref="X16:X64" si="2">F16-W16*30</f>
        <v>0</v>
      </c>
      <c r="Y16" s="396" t="e">
        <f t="shared" ref="Y16:Y64" si="3">G16*H16</f>
        <v>#VALUE!</v>
      </c>
      <c r="Z16" s="396" t="e">
        <f>VLOOKUP(D16,入力補助!$C$2:$Q$44,14,FALSE)</f>
        <v>#N/A</v>
      </c>
      <c r="AA16" s="396" t="e">
        <f>VLOOKUP(D16,入力補助!$C$2:$Q$44,15,FALSE)</f>
        <v>#N/A</v>
      </c>
      <c r="AB16" s="396" t="e">
        <f>VLOOKUP(D16,入力補助!$C$2:$R$44,16,FALSE)</f>
        <v>#N/A</v>
      </c>
      <c r="AC16" s="396" t="str">
        <f t="shared" ref="AC16:AC64" si="4">IF(LEN(E16)=3,E16,0&amp;E16)</f>
        <v>0</v>
      </c>
      <c r="AD16" s="396" t="e">
        <f>Z16&amp;AC16</f>
        <v>#N/A</v>
      </c>
      <c r="AE16" s="396" t="e">
        <f>AA16&amp;AC16</f>
        <v>#N/A</v>
      </c>
      <c r="AF16" s="396" t="e">
        <f>AB16&amp;AC16</f>
        <v>#N/A</v>
      </c>
      <c r="AG16" s="237" t="e">
        <f>IF(AE16="","",VLOOKUP(IF(OR(AND($AV$9=TRUE,$AN$9=D16),AND($AW$9=TRUE,$AO$9=D16),AND($AX$9=TRUE,$AP$9=D16,E16&lt;50),AND($AU$9=TRUE,$AM$9=D16)),AE16,AF16),入力補助!$Z$3:$AA$94,2,FALSE))</f>
        <v>#N/A</v>
      </c>
      <c r="AH16" s="238" t="str">
        <f t="shared" ref="AH16:AH64" si="5">IF(N16="","",((N16/1000)/((AG16/1000)^2*3.14/4)))</f>
        <v/>
      </c>
      <c r="AI16" s="237" t="str">
        <f t="shared" ref="AI16:AI64" si="6">IF(N16="","",IF(AG16&gt;60,ROUND((10.666*110^-1.85*(AG16/1000)^-4.87*(N16/1000)^1.85*1)*1000,1),ROUND(((0.0126+((0.01739-0.1087*(AG16/1000))/SQRT(AH16)))*(1/(AG16/1000))*((AH16^2)/(2*9.8))*1000),2)))</f>
        <v/>
      </c>
      <c r="AJ16" s="239" t="str">
        <f>IFERROR(VLOOKUP(N16,コード表!$B$6:$BJ$3006,MATCH(AD16,コード表!$B$6:$BJ$6,0)),"")</f>
        <v/>
      </c>
    </row>
    <row r="17" spans="1:36" ht="20.399999999999999" customHeight="1">
      <c r="A17" s="384"/>
      <c r="C17" s="420"/>
      <c r="D17" s="418"/>
      <c r="E17" s="442"/>
      <c r="F17" s="420"/>
      <c r="G17" s="294" t="str">
        <f t="shared" ref="G17:G64" si="7">IF(D17="","",IF(F17="",G16,W17*6+IF(X17=0,0,IF(X17=1,1,IF(X17&lt;5,2,IF(X17&lt;11,3,IF(X17&lt;16,4,IF(X17&lt;21,5,IF(X17&lt;30,6,0)))))))))</f>
        <v/>
      </c>
      <c r="H17" s="296" t="str">
        <f>IF(G17="","",$AM$6)</f>
        <v/>
      </c>
      <c r="I17" s="422"/>
      <c r="J17" s="298" t="str">
        <f>IF(D17="","",IF(I17="",J16,IF(I17&lt;10,ROUND(42*(I17^0.33)/60,1),IF(I17&lt;600,ROUND(19*(I17^0.67)/60,1),ROUND(2.8*(I17^0.97)/60,1)))))</f>
        <v/>
      </c>
      <c r="K17" s="420"/>
      <c r="L17" s="300" t="str">
        <f t="shared" ref="L17:L64" si="8">IF(D17="","",IF(K17="",L16,IF(K17&lt;31,ROUND(26*(K17^0.36)/60,1),IF(K17&lt;301,ROUND(13*(K17^0.56)/60,1),ROUND(6.9*(K17^0.67)/60,1)))))</f>
        <v/>
      </c>
      <c r="M17" s="424"/>
      <c r="N17" s="302" t="str">
        <f t="shared" si="0"/>
        <v/>
      </c>
      <c r="O17" s="426"/>
      <c r="P17" s="324" t="str">
        <f>IF(D17="","",IFERROR(VLOOKUP(AD17,入力補助!$U$3:$V$94,2,FALSE),""))</f>
        <v/>
      </c>
      <c r="Q17" s="295" t="str">
        <f t="shared" ref="Q17:Q64" si="9">IF(AJ17="",IFERROR(IF(AI17&lt;10,ROUND(AI17,1),ROUND(AI17,0)),""),"")</f>
        <v/>
      </c>
      <c r="R17" s="428"/>
      <c r="S17" s="304" t="str">
        <f t="shared" ref="S17:S64" si="10">IF(D17="","",IF(ISNUMBER(R17)=TRUE,R17,IF(ISNUMBER(AJ17)=TRUE,ROUND(AJ17,2),IF(ISNUMBER(P17)=TRUE,ROUND(P17*Q17/1000,2),ROUND(O17*Q17/1000,2)))))</f>
        <v/>
      </c>
      <c r="T17" s="396" t="str">
        <f t="shared" ref="T17:T64" si="11">IF(D17="SUS","S",IF(D17="VSP","V",IF(D17="COP","C","")))</f>
        <v/>
      </c>
      <c r="U17" s="339" t="str">
        <f t="shared" ref="U17:U64" si="12">IFERROR(IF(AND(ROUND(AH17,1)&gt;2,OR(D17="Pe",D17="PeH",D17="HPPE",D17="SUS",D17="PBP",D17="VSP",D17="XPe",D17="VP",D17="COP",D17="HIVP",D17="鋳鉄管",D17="給水管")),"Over",""),"")</f>
        <v/>
      </c>
      <c r="W17" s="396">
        <f t="shared" si="1"/>
        <v>0</v>
      </c>
      <c r="X17" s="396">
        <f t="shared" si="2"/>
        <v>0</v>
      </c>
      <c r="Y17" s="396" t="e">
        <f t="shared" si="3"/>
        <v>#VALUE!</v>
      </c>
      <c r="Z17" s="396" t="e">
        <f>VLOOKUP(D17,入力補助!$C$2:$Q$44,14,FALSE)</f>
        <v>#N/A</v>
      </c>
      <c r="AA17" s="396" t="e">
        <f>VLOOKUP(D17,入力補助!$C$2:$Q$44,15,FALSE)</f>
        <v>#N/A</v>
      </c>
      <c r="AB17" s="396" t="e">
        <f>VLOOKUP(D17,入力補助!$C$2:$R$44,16,FALSE)</f>
        <v>#N/A</v>
      </c>
      <c r="AC17" s="396" t="str">
        <f t="shared" si="4"/>
        <v>0</v>
      </c>
      <c r="AD17" s="396" t="e">
        <f>Z17&amp;AC17</f>
        <v>#N/A</v>
      </c>
      <c r="AE17" s="396" t="e">
        <f>AA17&amp;AC17</f>
        <v>#N/A</v>
      </c>
      <c r="AF17" s="396" t="e">
        <f t="shared" ref="AF17:AF64" si="13">AB17&amp;AC17</f>
        <v>#N/A</v>
      </c>
      <c r="AG17" s="237" t="e">
        <f>IF(AE17="","",VLOOKUP(IF(OR(AND($AV$9=TRUE,$AN$9=D17),AND($AW$9=TRUE,$AO$9=D17),AND($AX$9=TRUE,$AP$9=D17,E17&lt;50),AND($AU$9=TRUE,$AM$9=D17)),AE17,AF17),入力補助!$Z$3:$AA$94,2,FALSE))</f>
        <v>#N/A</v>
      </c>
      <c r="AH17" s="238" t="str">
        <f t="shared" si="5"/>
        <v/>
      </c>
      <c r="AI17" s="237" t="str">
        <f t="shared" si="6"/>
        <v/>
      </c>
      <c r="AJ17" s="239" t="str">
        <f>IFERROR(VLOOKUP(N17,コード表!$B$6:$BJ$3006,MATCH(AD17,コード表!$B$6:$BJ$6,0)),"")</f>
        <v/>
      </c>
    </row>
    <row r="18" spans="1:36" ht="20.25" customHeight="1">
      <c r="A18" s="384"/>
      <c r="C18" s="420"/>
      <c r="D18" s="418"/>
      <c r="E18" s="442"/>
      <c r="F18" s="420"/>
      <c r="G18" s="294" t="str">
        <f t="shared" si="7"/>
        <v/>
      </c>
      <c r="H18" s="296" t="str">
        <f t="shared" ref="H18:H64" si="14">IF(G18="","",$AM$6)</f>
        <v/>
      </c>
      <c r="I18" s="422"/>
      <c r="J18" s="298" t="str">
        <f t="shared" ref="J18:J64" si="15">IF(D18="","",IF(I18="",J17,IF(I18&lt;10,ROUND(42*(I18^0.33)/60,1),IF(I18&lt;600,ROUND(19*(I18^0.67)/60,1),ROUND(2.8*(I18^0.97)/60,1)))))</f>
        <v/>
      </c>
      <c r="K18" s="420"/>
      <c r="L18" s="300" t="str">
        <f t="shared" si="8"/>
        <v/>
      </c>
      <c r="M18" s="424"/>
      <c r="N18" s="302" t="str">
        <f t="shared" si="0"/>
        <v/>
      </c>
      <c r="O18" s="426"/>
      <c r="P18" s="324" t="str">
        <f>IF(D18="","",IFERROR(VLOOKUP(AD18,入力補助!$U$3:$V$94,2,FALSE),""))</f>
        <v/>
      </c>
      <c r="Q18" s="295" t="str">
        <f t="shared" si="9"/>
        <v/>
      </c>
      <c r="R18" s="428"/>
      <c r="S18" s="304" t="str">
        <f t="shared" si="10"/>
        <v/>
      </c>
      <c r="T18" s="396" t="str">
        <f t="shared" si="11"/>
        <v/>
      </c>
      <c r="U18" s="339" t="str">
        <f t="shared" si="12"/>
        <v/>
      </c>
      <c r="W18" s="396">
        <f t="shared" si="1"/>
        <v>0</v>
      </c>
      <c r="X18" s="396">
        <f t="shared" si="2"/>
        <v>0</v>
      </c>
      <c r="Y18" s="396" t="e">
        <f t="shared" si="3"/>
        <v>#VALUE!</v>
      </c>
      <c r="Z18" s="396" t="e">
        <f>VLOOKUP(D18,入力補助!$C$2:$Q$44,14,FALSE)</f>
        <v>#N/A</v>
      </c>
      <c r="AA18" s="396" t="e">
        <f>VLOOKUP(D18,入力補助!$C$2:$Q$44,15,FALSE)</f>
        <v>#N/A</v>
      </c>
      <c r="AB18" s="396" t="e">
        <f>VLOOKUP(D18,入力補助!$C$2:$R$44,16,FALSE)</f>
        <v>#N/A</v>
      </c>
      <c r="AC18" s="396" t="str">
        <f t="shared" si="4"/>
        <v>0</v>
      </c>
      <c r="AD18" s="396" t="e">
        <f>Z18&amp;AC18</f>
        <v>#N/A</v>
      </c>
      <c r="AE18" s="396" t="e">
        <f t="shared" ref="AE18:AE64" si="16">AA18&amp;AC18</f>
        <v>#N/A</v>
      </c>
      <c r="AF18" s="396" t="e">
        <f t="shared" si="13"/>
        <v>#N/A</v>
      </c>
      <c r="AG18" s="237" t="e">
        <f>IF(AE18="","",VLOOKUP(IF(OR(AND($AV$9=TRUE,$AN$9=D18),AND($AW$9=TRUE,$AO$9=D18),AND($AX$9=TRUE,$AP$9=D18,E18&lt;50),AND($AU$9=TRUE,$AM$9=D18)),AE18,AF18),入力補助!$Z$3:$AA$94,2,FALSE))</f>
        <v>#N/A</v>
      </c>
      <c r="AH18" s="238" t="str">
        <f t="shared" si="5"/>
        <v/>
      </c>
      <c r="AI18" s="237" t="str">
        <f t="shared" si="6"/>
        <v/>
      </c>
      <c r="AJ18" s="239" t="str">
        <f>IFERROR(VLOOKUP(N18,コード表!$B$6:$BJ$3006,MATCH(AD18,コード表!$B$6:$BJ$6,0)),"")</f>
        <v/>
      </c>
    </row>
    <row r="19" spans="1:36" ht="20.399999999999999" customHeight="1">
      <c r="A19" s="384"/>
      <c r="C19" s="420"/>
      <c r="D19" s="418"/>
      <c r="E19" s="442"/>
      <c r="F19" s="420"/>
      <c r="G19" s="294" t="str">
        <f t="shared" si="7"/>
        <v/>
      </c>
      <c r="H19" s="296" t="str">
        <f t="shared" si="14"/>
        <v/>
      </c>
      <c r="I19" s="422"/>
      <c r="J19" s="298" t="str">
        <f t="shared" si="15"/>
        <v/>
      </c>
      <c r="K19" s="420"/>
      <c r="L19" s="300" t="str">
        <f t="shared" si="8"/>
        <v/>
      </c>
      <c r="M19" s="424"/>
      <c r="N19" s="302" t="str">
        <f t="shared" si="0"/>
        <v/>
      </c>
      <c r="O19" s="426"/>
      <c r="P19" s="324" t="str">
        <f>IF(D19="","",IFERROR(VLOOKUP(AD19,入力補助!$U$3:$V$94,2,FALSE),""))</f>
        <v/>
      </c>
      <c r="Q19" s="295" t="str">
        <f t="shared" si="9"/>
        <v/>
      </c>
      <c r="R19" s="428"/>
      <c r="S19" s="304" t="str">
        <f t="shared" si="10"/>
        <v/>
      </c>
      <c r="T19" s="396" t="str">
        <f t="shared" si="11"/>
        <v/>
      </c>
      <c r="U19" s="339" t="str">
        <f t="shared" si="12"/>
        <v/>
      </c>
      <c r="W19" s="396">
        <f t="shared" si="1"/>
        <v>0</v>
      </c>
      <c r="X19" s="396">
        <f t="shared" si="2"/>
        <v>0</v>
      </c>
      <c r="Y19" s="396" t="e">
        <f t="shared" si="3"/>
        <v>#VALUE!</v>
      </c>
      <c r="Z19" s="396" t="e">
        <f>VLOOKUP(D19,入力補助!$C$2:$Q$44,14,FALSE)</f>
        <v>#N/A</v>
      </c>
      <c r="AA19" s="396" t="e">
        <f>VLOOKUP(D19,入力補助!$C$2:$Q$44,15,FALSE)</f>
        <v>#N/A</v>
      </c>
      <c r="AB19" s="396" t="e">
        <f>VLOOKUP(D19,入力補助!$C$2:$R$44,16,FALSE)</f>
        <v>#N/A</v>
      </c>
      <c r="AC19" s="396" t="str">
        <f t="shared" si="4"/>
        <v>0</v>
      </c>
      <c r="AD19" s="396" t="e">
        <f t="shared" ref="AD19:AD64" si="17">Z19&amp;AC19</f>
        <v>#N/A</v>
      </c>
      <c r="AE19" s="396" t="e">
        <f t="shared" si="16"/>
        <v>#N/A</v>
      </c>
      <c r="AF19" s="396" t="e">
        <f t="shared" si="13"/>
        <v>#N/A</v>
      </c>
      <c r="AG19" s="237" t="e">
        <f>IF(AE19="","",VLOOKUP(IF(OR(AND($AV$9=TRUE,$AN$9=D19),AND($AW$9=TRUE,$AO$9=D19),AND($AX$9=TRUE,$AP$9=D19,E19&lt;50),AND($AU$9=TRUE,$AM$9=D19)),AE19,AF19),入力補助!$Z$3:$AA$94,2,FALSE))</f>
        <v>#N/A</v>
      </c>
      <c r="AH19" s="238" t="str">
        <f t="shared" si="5"/>
        <v/>
      </c>
      <c r="AI19" s="237" t="str">
        <f t="shared" si="6"/>
        <v/>
      </c>
      <c r="AJ19" s="239" t="str">
        <f>IFERROR(VLOOKUP(N19,コード表!$B$6:$BJ$3006,MATCH(AD19,コード表!$B$6:$BJ$6,0)),"")</f>
        <v/>
      </c>
    </row>
    <row r="20" spans="1:36" ht="20.399999999999999" customHeight="1">
      <c r="A20" s="384"/>
      <c r="C20" s="420"/>
      <c r="D20" s="418"/>
      <c r="E20" s="442"/>
      <c r="F20" s="420"/>
      <c r="G20" s="294" t="str">
        <f t="shared" si="7"/>
        <v/>
      </c>
      <c r="H20" s="296" t="str">
        <f t="shared" si="14"/>
        <v/>
      </c>
      <c r="I20" s="422"/>
      <c r="J20" s="298" t="str">
        <f t="shared" si="15"/>
        <v/>
      </c>
      <c r="K20" s="420"/>
      <c r="L20" s="300" t="str">
        <f t="shared" si="8"/>
        <v/>
      </c>
      <c r="M20" s="424"/>
      <c r="N20" s="302" t="str">
        <f t="shared" si="0"/>
        <v/>
      </c>
      <c r="O20" s="426"/>
      <c r="P20" s="324" t="str">
        <f>IF(D20="","",IFERROR(VLOOKUP(AD20,入力補助!$U$3:$V$94,2,FALSE),""))</f>
        <v/>
      </c>
      <c r="Q20" s="295" t="str">
        <f t="shared" si="9"/>
        <v/>
      </c>
      <c r="R20" s="428"/>
      <c r="S20" s="304" t="str">
        <f t="shared" si="10"/>
        <v/>
      </c>
      <c r="T20" s="396" t="str">
        <f t="shared" si="11"/>
        <v/>
      </c>
      <c r="U20" s="339" t="str">
        <f t="shared" si="12"/>
        <v/>
      </c>
      <c r="W20" s="396">
        <f t="shared" si="1"/>
        <v>0</v>
      </c>
      <c r="X20" s="396">
        <f t="shared" si="2"/>
        <v>0</v>
      </c>
      <c r="Y20" s="396" t="e">
        <f t="shared" si="3"/>
        <v>#VALUE!</v>
      </c>
      <c r="Z20" s="396" t="e">
        <f>VLOOKUP(D20,入力補助!$C$2:$Q$44,14,FALSE)</f>
        <v>#N/A</v>
      </c>
      <c r="AA20" s="396" t="e">
        <f>VLOOKUP(D20,入力補助!$C$2:$Q$44,15,FALSE)</f>
        <v>#N/A</v>
      </c>
      <c r="AB20" s="396" t="e">
        <f>VLOOKUP(D20,入力補助!$C$2:$R$44,16,FALSE)</f>
        <v>#N/A</v>
      </c>
      <c r="AC20" s="396" t="str">
        <f t="shared" si="4"/>
        <v>0</v>
      </c>
      <c r="AD20" s="396" t="e">
        <f t="shared" si="17"/>
        <v>#N/A</v>
      </c>
      <c r="AE20" s="396" t="e">
        <f t="shared" si="16"/>
        <v>#N/A</v>
      </c>
      <c r="AF20" s="396" t="e">
        <f t="shared" si="13"/>
        <v>#N/A</v>
      </c>
      <c r="AG20" s="237" t="e">
        <f>IF(AE20="","",VLOOKUP(IF(OR(AND($AV$9=TRUE,$AN$9=D20),AND($AW$9=TRUE,$AO$9=D20),AND($AX$9=TRUE,$AP$9=D20,E20&lt;50),AND($AU$9=TRUE,$AM$9=D20)),AE20,AF20),入力補助!$Z$3:$AA$94,2,FALSE))</f>
        <v>#N/A</v>
      </c>
      <c r="AH20" s="238" t="str">
        <f t="shared" si="5"/>
        <v/>
      </c>
      <c r="AI20" s="237" t="str">
        <f t="shared" si="6"/>
        <v/>
      </c>
      <c r="AJ20" s="239" t="str">
        <f>IFERROR(VLOOKUP(N20,コード表!$B$6:$BJ$3006,MATCH(AD20,コード表!$B$6:$BJ$6,0)),"")</f>
        <v/>
      </c>
    </row>
    <row r="21" spans="1:36" ht="20.399999999999999" customHeight="1">
      <c r="A21" s="384"/>
      <c r="C21" s="420"/>
      <c r="D21" s="418"/>
      <c r="E21" s="442"/>
      <c r="F21" s="420"/>
      <c r="G21" s="294" t="str">
        <f t="shared" si="7"/>
        <v/>
      </c>
      <c r="H21" s="296" t="str">
        <f t="shared" si="14"/>
        <v/>
      </c>
      <c r="I21" s="422"/>
      <c r="J21" s="298" t="str">
        <f t="shared" si="15"/>
        <v/>
      </c>
      <c r="K21" s="420"/>
      <c r="L21" s="300" t="str">
        <f t="shared" si="8"/>
        <v/>
      </c>
      <c r="M21" s="424"/>
      <c r="N21" s="302" t="str">
        <f t="shared" si="0"/>
        <v/>
      </c>
      <c r="O21" s="426"/>
      <c r="P21" s="324" t="str">
        <f>IF(D21="","",IFERROR(VLOOKUP(AD21,入力補助!$U$3:$V$94,2,FALSE),""))</f>
        <v/>
      </c>
      <c r="Q21" s="295" t="str">
        <f t="shared" si="9"/>
        <v/>
      </c>
      <c r="R21" s="428"/>
      <c r="S21" s="304" t="str">
        <f t="shared" si="10"/>
        <v/>
      </c>
      <c r="T21" s="396" t="str">
        <f t="shared" si="11"/>
        <v/>
      </c>
      <c r="U21" s="339" t="str">
        <f t="shared" si="12"/>
        <v/>
      </c>
      <c r="W21" s="396">
        <f t="shared" si="1"/>
        <v>0</v>
      </c>
      <c r="X21" s="396">
        <f t="shared" si="2"/>
        <v>0</v>
      </c>
      <c r="Y21" s="396" t="e">
        <f t="shared" si="3"/>
        <v>#VALUE!</v>
      </c>
      <c r="Z21" s="396" t="e">
        <f>VLOOKUP(D21,入力補助!$C$2:$Q$44,14,FALSE)</f>
        <v>#N/A</v>
      </c>
      <c r="AA21" s="396" t="e">
        <f>VLOOKUP(D21,入力補助!$C$2:$Q$44,15,FALSE)</f>
        <v>#N/A</v>
      </c>
      <c r="AB21" s="396" t="e">
        <f>VLOOKUP(D21,入力補助!$C$2:$R$44,16,FALSE)</f>
        <v>#N/A</v>
      </c>
      <c r="AC21" s="396" t="str">
        <f t="shared" si="4"/>
        <v>0</v>
      </c>
      <c r="AD21" s="396" t="e">
        <f t="shared" si="17"/>
        <v>#N/A</v>
      </c>
      <c r="AE21" s="396" t="e">
        <f t="shared" si="16"/>
        <v>#N/A</v>
      </c>
      <c r="AF21" s="396" t="e">
        <f t="shared" si="13"/>
        <v>#N/A</v>
      </c>
      <c r="AG21" s="237" t="e">
        <f>IF(AE21="","",VLOOKUP(IF(OR(AND($AV$9=TRUE,$AN$9=D21),AND($AW$9=TRUE,$AO$9=D21),AND($AX$9=TRUE,$AP$9=D21,E21&lt;50),AND($AU$9=TRUE,$AM$9=D21)),AE21,AF21),入力補助!$Z$3:$AA$94,2,FALSE))</f>
        <v>#N/A</v>
      </c>
      <c r="AH21" s="238" t="str">
        <f t="shared" si="5"/>
        <v/>
      </c>
      <c r="AI21" s="237" t="str">
        <f t="shared" si="6"/>
        <v/>
      </c>
      <c r="AJ21" s="239" t="str">
        <f>IFERROR(VLOOKUP(N21,コード表!$B$6:$BJ$3006,MATCH(AD21,コード表!$B$6:$BJ$6,0)),"")</f>
        <v/>
      </c>
    </row>
    <row r="22" spans="1:36" ht="20.399999999999999" customHeight="1">
      <c r="A22" s="384"/>
      <c r="C22" s="420"/>
      <c r="D22" s="418"/>
      <c r="E22" s="442"/>
      <c r="F22" s="420"/>
      <c r="G22" s="294" t="str">
        <f t="shared" si="7"/>
        <v/>
      </c>
      <c r="H22" s="296" t="str">
        <f t="shared" si="14"/>
        <v/>
      </c>
      <c r="I22" s="422"/>
      <c r="J22" s="298" t="str">
        <f>IF(D22="","",IF(I22="",J21,IF(I22&lt;10,ROUND(42*(I22^0.33)/60,1),IF(I22&lt;600,ROUND(19*(I22^0.67)/60,1),ROUND(2.8*(I22^0.97)/60,1)))))</f>
        <v/>
      </c>
      <c r="K22" s="420"/>
      <c r="L22" s="300" t="str">
        <f t="shared" si="8"/>
        <v/>
      </c>
      <c r="M22" s="424"/>
      <c r="N22" s="302" t="str">
        <f t="shared" si="0"/>
        <v/>
      </c>
      <c r="O22" s="426"/>
      <c r="P22" s="324" t="str">
        <f>IF(D22="","",IFERROR(VLOOKUP(AD22,入力補助!$U$3:$V$94,2,FALSE),""))</f>
        <v/>
      </c>
      <c r="Q22" s="295" t="str">
        <f t="shared" si="9"/>
        <v/>
      </c>
      <c r="R22" s="428"/>
      <c r="S22" s="304" t="str">
        <f t="shared" si="10"/>
        <v/>
      </c>
      <c r="T22" s="396" t="str">
        <f>IF(D22="SUS","S",IF(D22="VSP","V",IF(D22="COP","C","")))</f>
        <v/>
      </c>
      <c r="U22" s="339" t="str">
        <f t="shared" si="12"/>
        <v/>
      </c>
      <c r="W22" s="396">
        <f t="shared" si="1"/>
        <v>0</v>
      </c>
      <c r="X22" s="396">
        <f t="shared" si="2"/>
        <v>0</v>
      </c>
      <c r="Y22" s="396" t="e">
        <f t="shared" si="3"/>
        <v>#VALUE!</v>
      </c>
      <c r="Z22" s="396" t="e">
        <f>VLOOKUP(D22,入力補助!$C$2:$Q$44,14,FALSE)</f>
        <v>#N/A</v>
      </c>
      <c r="AA22" s="396" t="e">
        <f>VLOOKUP(D22,入力補助!$C$2:$Q$44,15,FALSE)</f>
        <v>#N/A</v>
      </c>
      <c r="AB22" s="396" t="e">
        <f>VLOOKUP(D22,入力補助!$C$2:$R$44,16,FALSE)</f>
        <v>#N/A</v>
      </c>
      <c r="AC22" s="396" t="str">
        <f t="shared" si="4"/>
        <v>0</v>
      </c>
      <c r="AD22" s="396" t="e">
        <f t="shared" si="17"/>
        <v>#N/A</v>
      </c>
      <c r="AE22" s="396" t="e">
        <f t="shared" si="16"/>
        <v>#N/A</v>
      </c>
      <c r="AF22" s="396" t="e">
        <f t="shared" si="13"/>
        <v>#N/A</v>
      </c>
      <c r="AG22" s="237" t="e">
        <f>IF(AE22="","",VLOOKUP(IF(OR(AND($AV$9=TRUE,$AN$9=D22),AND($AW$9=TRUE,$AO$9=D22),AND($AX$9=TRUE,$AP$9=D22,E22&lt;50),AND($AU$9=TRUE,$AM$9=D22)),AE22,AF22),入力補助!$Z$3:$AA$94,2,FALSE))</f>
        <v>#N/A</v>
      </c>
      <c r="AH22" s="238" t="str">
        <f t="shared" si="5"/>
        <v/>
      </c>
      <c r="AI22" s="237" t="str">
        <f t="shared" si="6"/>
        <v/>
      </c>
      <c r="AJ22" s="239" t="str">
        <f>IFERROR(VLOOKUP(N22,コード表!$B$6:$BJ$3006,MATCH(AD22,コード表!$B$6:$BJ$6,0)),"")</f>
        <v/>
      </c>
    </row>
    <row r="23" spans="1:36" ht="20.399999999999999" customHeight="1">
      <c r="A23" s="384"/>
      <c r="C23" s="420"/>
      <c r="D23" s="418"/>
      <c r="E23" s="442"/>
      <c r="F23" s="420"/>
      <c r="G23" s="294" t="str">
        <f t="shared" si="7"/>
        <v/>
      </c>
      <c r="H23" s="296" t="str">
        <f t="shared" si="14"/>
        <v/>
      </c>
      <c r="I23" s="422"/>
      <c r="J23" s="298" t="str">
        <f>IF(D23="","",IF(I23="",J22,IF(I23&lt;10,ROUND(42*(I23^0.33)/60,1),IF(I23&lt;600,ROUND(19*(I23^0.67)/60,1),ROUND(2.8*(I23^0.97)/60,1)))))</f>
        <v/>
      </c>
      <c r="K23" s="420"/>
      <c r="L23" s="300" t="str">
        <f t="shared" si="8"/>
        <v/>
      </c>
      <c r="M23" s="424"/>
      <c r="N23" s="302" t="str">
        <f t="shared" si="0"/>
        <v/>
      </c>
      <c r="O23" s="426"/>
      <c r="P23" s="324" t="str">
        <f>IF(D23="","",IFERROR(VLOOKUP(AD23,入力補助!$U$3:$V$94,2,FALSE),""))</f>
        <v/>
      </c>
      <c r="Q23" s="295" t="str">
        <f t="shared" si="9"/>
        <v/>
      </c>
      <c r="R23" s="428"/>
      <c r="S23" s="304" t="str">
        <f t="shared" si="10"/>
        <v/>
      </c>
      <c r="T23" s="396" t="str">
        <f>IF(D23="SUS","S",IF(D23="VSP","V",IF(D23="COP","C","")))</f>
        <v/>
      </c>
      <c r="U23" s="339" t="str">
        <f t="shared" si="12"/>
        <v/>
      </c>
      <c r="W23" s="396">
        <f t="shared" si="1"/>
        <v>0</v>
      </c>
      <c r="X23" s="396">
        <f t="shared" si="2"/>
        <v>0</v>
      </c>
      <c r="Y23" s="396" t="e">
        <f t="shared" si="3"/>
        <v>#VALUE!</v>
      </c>
      <c r="Z23" s="396" t="e">
        <f>VLOOKUP(D23,入力補助!$C$2:$Q$44,14,FALSE)</f>
        <v>#N/A</v>
      </c>
      <c r="AA23" s="396" t="e">
        <f>VLOOKUP(D23,入力補助!$C$2:$Q$44,15,FALSE)</f>
        <v>#N/A</v>
      </c>
      <c r="AB23" s="396" t="e">
        <f>VLOOKUP(D23,入力補助!$C$2:$R$44,16,FALSE)</f>
        <v>#N/A</v>
      </c>
      <c r="AC23" s="396" t="str">
        <f t="shared" si="4"/>
        <v>0</v>
      </c>
      <c r="AD23" s="396" t="e">
        <f t="shared" si="17"/>
        <v>#N/A</v>
      </c>
      <c r="AE23" s="396" t="e">
        <f>AA23&amp;AC23</f>
        <v>#N/A</v>
      </c>
      <c r="AF23" s="396" t="e">
        <f t="shared" si="13"/>
        <v>#N/A</v>
      </c>
      <c r="AG23" s="237" t="e">
        <f>IF(AE23="","",VLOOKUP(IF(OR(AND($AV$9=TRUE,$AN$9=D23),AND($AW$9=TRUE,$AO$9=D23),AND($AX$9=TRUE,$AP$9=D23,E23&lt;50),AND($AU$9=TRUE,$AM$9=D23)),AE23,AF23),入力補助!$Z$3:$AA$94,2,FALSE))</f>
        <v>#N/A</v>
      </c>
      <c r="AH23" s="238" t="str">
        <f t="shared" si="5"/>
        <v/>
      </c>
      <c r="AI23" s="237" t="str">
        <f t="shared" si="6"/>
        <v/>
      </c>
      <c r="AJ23" s="239" t="str">
        <f>IFERROR(VLOOKUP(N23,コード表!$B$6:$BJ$3006,MATCH(AD23,コード表!$B$6:$BJ$6,0)),"")</f>
        <v/>
      </c>
    </row>
    <row r="24" spans="1:36" ht="20.399999999999999" customHeight="1">
      <c r="A24" s="384"/>
      <c r="C24" s="420"/>
      <c r="D24" s="418"/>
      <c r="E24" s="442"/>
      <c r="F24" s="420"/>
      <c r="G24" s="294" t="str">
        <f t="shared" si="7"/>
        <v/>
      </c>
      <c r="H24" s="296" t="str">
        <f t="shared" si="14"/>
        <v/>
      </c>
      <c r="I24" s="422"/>
      <c r="J24" s="298" t="str">
        <f t="shared" si="15"/>
        <v/>
      </c>
      <c r="K24" s="420"/>
      <c r="L24" s="300" t="str">
        <f t="shared" si="8"/>
        <v/>
      </c>
      <c r="M24" s="424"/>
      <c r="N24" s="302" t="str">
        <f t="shared" si="0"/>
        <v/>
      </c>
      <c r="O24" s="426"/>
      <c r="P24" s="324" t="str">
        <f>IF(D24="","",IFERROR(VLOOKUP(AD24,入力補助!$U$3:$V$94,2,FALSE),""))</f>
        <v/>
      </c>
      <c r="Q24" s="295" t="str">
        <f>IF(AJ24="",IFERROR(IF(AI24&lt;10,ROUND(AI24,1),ROUND(AI24,0)),""),"")</f>
        <v/>
      </c>
      <c r="R24" s="428"/>
      <c r="S24" s="304" t="str">
        <f t="shared" si="10"/>
        <v/>
      </c>
      <c r="T24" s="396" t="str">
        <f t="shared" si="11"/>
        <v/>
      </c>
      <c r="U24" s="339" t="str">
        <f t="shared" si="12"/>
        <v/>
      </c>
      <c r="W24" s="396">
        <f t="shared" si="1"/>
        <v>0</v>
      </c>
      <c r="X24" s="396">
        <f t="shared" si="2"/>
        <v>0</v>
      </c>
      <c r="Y24" s="396" t="e">
        <f t="shared" si="3"/>
        <v>#VALUE!</v>
      </c>
      <c r="Z24" s="396" t="e">
        <f>VLOOKUP(D24,入力補助!$C$2:$Q$44,14,FALSE)</f>
        <v>#N/A</v>
      </c>
      <c r="AA24" s="396" t="e">
        <f>VLOOKUP(D24,入力補助!$C$2:$Q$44,15,FALSE)</f>
        <v>#N/A</v>
      </c>
      <c r="AB24" s="396" t="e">
        <f>VLOOKUP(D24,入力補助!$C$2:$R$44,16,FALSE)</f>
        <v>#N/A</v>
      </c>
      <c r="AC24" s="396" t="str">
        <f t="shared" si="4"/>
        <v>0</v>
      </c>
      <c r="AD24" s="396" t="e">
        <f t="shared" si="17"/>
        <v>#N/A</v>
      </c>
      <c r="AE24" s="396" t="e">
        <f t="shared" si="16"/>
        <v>#N/A</v>
      </c>
      <c r="AF24" s="396" t="e">
        <f t="shared" si="13"/>
        <v>#N/A</v>
      </c>
      <c r="AG24" s="237" t="e">
        <f>IF(AE24="","",VLOOKUP(IF(OR(AND($AV$9=TRUE,$AN$9=D24),AND($AW$9=TRUE,$AO$9=D24),AND($AX$9=TRUE,$AP$9=D24,E24&lt;50),AND($AU$9=TRUE,$AM$9=D24)),AE24,AF24),入力補助!$Z$3:$AA$94,2,FALSE))</f>
        <v>#N/A</v>
      </c>
      <c r="AH24" s="238" t="str">
        <f t="shared" si="5"/>
        <v/>
      </c>
      <c r="AI24" s="237" t="str">
        <f t="shared" si="6"/>
        <v/>
      </c>
      <c r="AJ24" s="239" t="str">
        <f>IFERROR(VLOOKUP(N24,コード表!$B$6:$BJ$3006,MATCH(AD24,コード表!$B$6:$BJ$6,0)),"")</f>
        <v/>
      </c>
    </row>
    <row r="25" spans="1:36" ht="20.399999999999999" customHeight="1">
      <c r="A25" s="384"/>
      <c r="C25" s="420"/>
      <c r="D25" s="418"/>
      <c r="E25" s="442"/>
      <c r="F25" s="420"/>
      <c r="G25" s="294" t="str">
        <f t="shared" si="7"/>
        <v/>
      </c>
      <c r="H25" s="296" t="str">
        <f t="shared" si="14"/>
        <v/>
      </c>
      <c r="I25" s="422"/>
      <c r="J25" s="298" t="str">
        <f>IF(D25="","",IF(I25="",J24,IF(I25&lt;10,ROUND(42*(I25^0.33)/60,1),IF(I25&lt;600,ROUND(19*(I25^0.67)/60,1),ROUND(2.8*(I25^0.97)/60,1)))))</f>
        <v/>
      </c>
      <c r="K25" s="420"/>
      <c r="L25" s="300" t="str">
        <f t="shared" si="8"/>
        <v/>
      </c>
      <c r="M25" s="424"/>
      <c r="N25" s="302" t="str">
        <f t="shared" si="0"/>
        <v/>
      </c>
      <c r="O25" s="426"/>
      <c r="P25" s="324" t="str">
        <f>IF(D25="","",IFERROR(VLOOKUP(AD25,入力補助!$U$3:$V$94,2,FALSE),""))</f>
        <v/>
      </c>
      <c r="Q25" s="295" t="str">
        <f t="shared" si="9"/>
        <v/>
      </c>
      <c r="R25" s="428"/>
      <c r="S25" s="304" t="str">
        <f t="shared" si="10"/>
        <v/>
      </c>
      <c r="T25" s="396" t="str">
        <f>IF(D25="SUS","S",IF(D25="VSP","V",IF(D25="COP","C","")))</f>
        <v/>
      </c>
      <c r="U25" s="339" t="str">
        <f t="shared" si="12"/>
        <v/>
      </c>
      <c r="W25" s="396">
        <f t="shared" si="1"/>
        <v>0</v>
      </c>
      <c r="X25" s="396">
        <f t="shared" si="2"/>
        <v>0</v>
      </c>
      <c r="Y25" s="396" t="e">
        <f t="shared" si="3"/>
        <v>#VALUE!</v>
      </c>
      <c r="Z25" s="396" t="e">
        <f>VLOOKUP(D25,入力補助!$C$2:$Q$44,14,FALSE)</f>
        <v>#N/A</v>
      </c>
      <c r="AA25" s="396" t="e">
        <f>VLOOKUP(D25,入力補助!$C$2:$Q$44,15,FALSE)</f>
        <v>#N/A</v>
      </c>
      <c r="AB25" s="396" t="e">
        <f>VLOOKUP(D25,入力補助!$C$2:$R$44,16,FALSE)</f>
        <v>#N/A</v>
      </c>
      <c r="AC25" s="396" t="str">
        <f t="shared" si="4"/>
        <v>0</v>
      </c>
      <c r="AD25" s="396" t="e">
        <f t="shared" si="17"/>
        <v>#N/A</v>
      </c>
      <c r="AE25" s="396" t="e">
        <f t="shared" si="16"/>
        <v>#N/A</v>
      </c>
      <c r="AF25" s="396" t="e">
        <f t="shared" si="13"/>
        <v>#N/A</v>
      </c>
      <c r="AG25" s="237" t="e">
        <f>IF(AE25="","",VLOOKUP(IF(OR(AND($AV$9=TRUE,$AN$9=D25),AND($AW$9=TRUE,$AO$9=D25),AND($AX$9=TRUE,$AP$9=D25,E25&lt;50),AND($AU$9=TRUE,$AM$9=D25)),AE25,AF25),入力補助!$Z$3:$AA$94,2,FALSE))</f>
        <v>#N/A</v>
      </c>
      <c r="AH25" s="238" t="str">
        <f t="shared" si="5"/>
        <v/>
      </c>
      <c r="AI25" s="237" t="str">
        <f t="shared" si="6"/>
        <v/>
      </c>
      <c r="AJ25" s="239" t="str">
        <f>IFERROR(VLOOKUP(N25,コード表!$B$6:$BJ$3006,MATCH(AD25,コード表!$B$6:$BJ$6,0)),"")</f>
        <v/>
      </c>
    </row>
    <row r="26" spans="1:36" ht="20.399999999999999" customHeight="1">
      <c r="A26" s="384"/>
      <c r="C26" s="420"/>
      <c r="D26" s="418"/>
      <c r="E26" s="442"/>
      <c r="F26" s="420"/>
      <c r="G26" s="294" t="str">
        <f t="shared" si="7"/>
        <v/>
      </c>
      <c r="H26" s="296" t="str">
        <f t="shared" si="14"/>
        <v/>
      </c>
      <c r="I26" s="422"/>
      <c r="J26" s="298" t="str">
        <f>IF(D26="","",IF(I26="",J25,IF(I26&lt;10,ROUND(42*(I26^0.33)/60,1),IF(I26&lt;600,ROUND(19*(I26^0.67)/60,1),ROUND(2.8*(I26^0.97)/60,1)))))</f>
        <v/>
      </c>
      <c r="K26" s="420"/>
      <c r="L26" s="300" t="str">
        <f t="shared" si="8"/>
        <v/>
      </c>
      <c r="M26" s="424"/>
      <c r="N26" s="302" t="str">
        <f t="shared" si="0"/>
        <v/>
      </c>
      <c r="O26" s="426"/>
      <c r="P26" s="324" t="str">
        <f>IF(D26="","",IFERROR(VLOOKUP(AD26,入力補助!$U$3:$V$94,2,FALSE),""))</f>
        <v/>
      </c>
      <c r="Q26" s="295" t="str">
        <f t="shared" si="9"/>
        <v/>
      </c>
      <c r="R26" s="428"/>
      <c r="S26" s="304" t="str">
        <f t="shared" si="10"/>
        <v/>
      </c>
      <c r="T26" s="396" t="str">
        <f>IF(D26="SUS","S",IF(D26="VSP","V",IF(D26="COP","C","")))</f>
        <v/>
      </c>
      <c r="U26" s="339" t="str">
        <f t="shared" si="12"/>
        <v/>
      </c>
      <c r="W26" s="396">
        <f t="shared" si="1"/>
        <v>0</v>
      </c>
      <c r="X26" s="396">
        <f t="shared" si="2"/>
        <v>0</v>
      </c>
      <c r="Y26" s="396" t="e">
        <f t="shared" si="3"/>
        <v>#VALUE!</v>
      </c>
      <c r="Z26" s="396" t="e">
        <f>VLOOKUP(D26,入力補助!$C$2:$Q$44,14,FALSE)</f>
        <v>#N/A</v>
      </c>
      <c r="AA26" s="396" t="e">
        <f>VLOOKUP(D26,入力補助!$C$2:$Q$44,15,FALSE)</f>
        <v>#N/A</v>
      </c>
      <c r="AB26" s="396" t="e">
        <f>VLOOKUP(D26,入力補助!$C$2:$R$44,16,FALSE)</f>
        <v>#N/A</v>
      </c>
      <c r="AC26" s="396" t="str">
        <f t="shared" si="4"/>
        <v>0</v>
      </c>
      <c r="AD26" s="396" t="e">
        <f t="shared" si="17"/>
        <v>#N/A</v>
      </c>
      <c r="AE26" s="396" t="e">
        <f t="shared" si="16"/>
        <v>#N/A</v>
      </c>
      <c r="AF26" s="396" t="e">
        <f t="shared" si="13"/>
        <v>#N/A</v>
      </c>
      <c r="AG26" s="237" t="e">
        <f>IF(AE26="","",VLOOKUP(IF(OR(AND($AV$9=TRUE,$AN$9=D26),AND($AW$9=TRUE,$AO$9=D26),AND($AX$9=TRUE,$AP$9=D26,E26&lt;50),AND($AU$9=TRUE,$AM$9=D26)),AE26,AF26),入力補助!$Z$3:$AA$94,2,FALSE))</f>
        <v>#N/A</v>
      </c>
      <c r="AH26" s="238" t="str">
        <f t="shared" si="5"/>
        <v/>
      </c>
      <c r="AI26" s="237" t="str">
        <f t="shared" si="6"/>
        <v/>
      </c>
      <c r="AJ26" s="239" t="str">
        <f>IFERROR(VLOOKUP(N26,コード表!$B$6:$BJ$3006,MATCH(AD26,コード表!$B$6:$BJ$6,0)),"")</f>
        <v/>
      </c>
    </row>
    <row r="27" spans="1:36" ht="20.399999999999999" customHeight="1">
      <c r="A27" s="384"/>
      <c r="C27" s="420"/>
      <c r="D27" s="418"/>
      <c r="E27" s="442"/>
      <c r="F27" s="420"/>
      <c r="G27" s="294" t="str">
        <f t="shared" si="7"/>
        <v/>
      </c>
      <c r="H27" s="296" t="str">
        <f t="shared" si="14"/>
        <v/>
      </c>
      <c r="I27" s="422"/>
      <c r="J27" s="298" t="str">
        <f t="shared" si="15"/>
        <v/>
      </c>
      <c r="K27" s="420"/>
      <c r="L27" s="300" t="str">
        <f t="shared" si="8"/>
        <v/>
      </c>
      <c r="M27" s="424"/>
      <c r="N27" s="302" t="str">
        <f t="shared" si="0"/>
        <v/>
      </c>
      <c r="O27" s="426"/>
      <c r="P27" s="324" t="str">
        <f>IF(D27="","",IFERROR(VLOOKUP(AD27,入力補助!$U$3:$V$94,2,FALSE),""))</f>
        <v/>
      </c>
      <c r="Q27" s="295" t="str">
        <f t="shared" si="9"/>
        <v/>
      </c>
      <c r="R27" s="428"/>
      <c r="S27" s="304" t="str">
        <f t="shared" si="10"/>
        <v/>
      </c>
      <c r="T27" s="396" t="str">
        <f t="shared" si="11"/>
        <v/>
      </c>
      <c r="U27" s="339" t="str">
        <f t="shared" si="12"/>
        <v/>
      </c>
      <c r="W27" s="396">
        <f t="shared" si="1"/>
        <v>0</v>
      </c>
      <c r="X27" s="396">
        <f t="shared" si="2"/>
        <v>0</v>
      </c>
      <c r="Y27" s="396" t="e">
        <f t="shared" si="3"/>
        <v>#VALUE!</v>
      </c>
      <c r="Z27" s="396" t="e">
        <f>VLOOKUP(D27,入力補助!$C$2:$Q$44,14,FALSE)</f>
        <v>#N/A</v>
      </c>
      <c r="AA27" s="396" t="e">
        <f>VLOOKUP(D27,入力補助!$C$2:$Q$44,15,FALSE)</f>
        <v>#N/A</v>
      </c>
      <c r="AB27" s="396" t="e">
        <f>VLOOKUP(D27,入力補助!$C$2:$R$44,16,FALSE)</f>
        <v>#N/A</v>
      </c>
      <c r="AC27" s="396" t="str">
        <f t="shared" si="4"/>
        <v>0</v>
      </c>
      <c r="AD27" s="396" t="e">
        <f t="shared" si="17"/>
        <v>#N/A</v>
      </c>
      <c r="AE27" s="396" t="e">
        <f t="shared" si="16"/>
        <v>#N/A</v>
      </c>
      <c r="AF27" s="396" t="e">
        <f t="shared" si="13"/>
        <v>#N/A</v>
      </c>
      <c r="AG27" s="237" t="e">
        <f>IF(AE27="","",VLOOKUP(IF(OR(AND($AV$9=TRUE,$AN$9=D27),AND($AW$9=TRUE,$AO$9=D27),AND($AX$9=TRUE,$AP$9=D27,E27&lt;50),AND($AU$9=TRUE,$AM$9=D27)),AE27,AF27),入力補助!$Z$3:$AA$94,2,FALSE))</f>
        <v>#N/A</v>
      </c>
      <c r="AH27" s="238" t="str">
        <f t="shared" si="5"/>
        <v/>
      </c>
      <c r="AI27" s="237" t="str">
        <f t="shared" si="6"/>
        <v/>
      </c>
      <c r="AJ27" s="239" t="str">
        <f>IFERROR(VLOOKUP(N27,コード表!$B$6:$BJ$3006,MATCH(AD27,コード表!$B$6:$BJ$6,0)),"")</f>
        <v/>
      </c>
    </row>
    <row r="28" spans="1:36" ht="20.399999999999999" customHeight="1">
      <c r="A28" s="384"/>
      <c r="C28" s="420"/>
      <c r="D28" s="418"/>
      <c r="E28" s="442"/>
      <c r="F28" s="420"/>
      <c r="G28" s="294" t="str">
        <f t="shared" si="7"/>
        <v/>
      </c>
      <c r="H28" s="296" t="str">
        <f t="shared" si="14"/>
        <v/>
      </c>
      <c r="I28" s="422"/>
      <c r="J28" s="298" t="str">
        <f t="shared" si="15"/>
        <v/>
      </c>
      <c r="K28" s="420"/>
      <c r="L28" s="300" t="str">
        <f t="shared" si="8"/>
        <v/>
      </c>
      <c r="M28" s="424"/>
      <c r="N28" s="302" t="str">
        <f t="shared" si="0"/>
        <v/>
      </c>
      <c r="O28" s="426"/>
      <c r="P28" s="324" t="str">
        <f>IF(D28="","",IFERROR(VLOOKUP(AD28,入力補助!$U$3:$V$94,2,FALSE),""))</f>
        <v/>
      </c>
      <c r="Q28" s="295" t="str">
        <f t="shared" si="9"/>
        <v/>
      </c>
      <c r="R28" s="428"/>
      <c r="S28" s="304" t="str">
        <f t="shared" si="10"/>
        <v/>
      </c>
      <c r="T28" s="396" t="str">
        <f t="shared" si="11"/>
        <v/>
      </c>
      <c r="U28" s="339" t="str">
        <f t="shared" si="12"/>
        <v/>
      </c>
      <c r="W28" s="396">
        <f t="shared" si="1"/>
        <v>0</v>
      </c>
      <c r="X28" s="396">
        <f t="shared" si="2"/>
        <v>0</v>
      </c>
      <c r="Y28" s="396" t="e">
        <f t="shared" si="3"/>
        <v>#VALUE!</v>
      </c>
      <c r="Z28" s="396" t="e">
        <f>VLOOKUP(D28,入力補助!$C$2:$Q$44,14,FALSE)</f>
        <v>#N/A</v>
      </c>
      <c r="AA28" s="396" t="e">
        <f>VLOOKUP(D28,入力補助!$C$2:$Q$44,15,FALSE)</f>
        <v>#N/A</v>
      </c>
      <c r="AB28" s="396" t="e">
        <f>VLOOKUP(D28,入力補助!$C$2:$R$44,16,FALSE)</f>
        <v>#N/A</v>
      </c>
      <c r="AC28" s="396" t="str">
        <f t="shared" si="4"/>
        <v>0</v>
      </c>
      <c r="AD28" s="396" t="e">
        <f t="shared" si="17"/>
        <v>#N/A</v>
      </c>
      <c r="AE28" s="396" t="e">
        <f t="shared" si="16"/>
        <v>#N/A</v>
      </c>
      <c r="AF28" s="396" t="e">
        <f t="shared" si="13"/>
        <v>#N/A</v>
      </c>
      <c r="AG28" s="237" t="e">
        <f>IF(AE28="","",VLOOKUP(IF(OR(AND($AV$9=TRUE,$AN$9=D28),AND($AW$9=TRUE,$AO$9=D28),AND($AX$9=TRUE,$AP$9=D28,E28&lt;50),AND($AU$9=TRUE,$AM$9=D28)),AE28,AF28),入力補助!$Z$3:$AA$94,2,FALSE))</f>
        <v>#N/A</v>
      </c>
      <c r="AH28" s="238" t="str">
        <f t="shared" si="5"/>
        <v/>
      </c>
      <c r="AI28" s="237" t="str">
        <f t="shared" si="6"/>
        <v/>
      </c>
      <c r="AJ28" s="239" t="str">
        <f>IFERROR(VLOOKUP(N28,コード表!$B$6:$BJ$3006,MATCH(AD28,コード表!$B$6:$BJ$6,0)),"")</f>
        <v/>
      </c>
    </row>
    <row r="29" spans="1:36" ht="20.399999999999999" customHeight="1">
      <c r="A29" s="384"/>
      <c r="C29" s="420"/>
      <c r="D29" s="433"/>
      <c r="E29" s="442"/>
      <c r="F29" s="420"/>
      <c r="G29" s="294" t="str">
        <f t="shared" si="7"/>
        <v/>
      </c>
      <c r="H29" s="296" t="str">
        <f t="shared" si="14"/>
        <v/>
      </c>
      <c r="I29" s="422"/>
      <c r="J29" s="298" t="str">
        <f t="shared" si="15"/>
        <v/>
      </c>
      <c r="K29" s="420"/>
      <c r="L29" s="300" t="str">
        <f t="shared" si="8"/>
        <v/>
      </c>
      <c r="M29" s="424"/>
      <c r="N29" s="302" t="str">
        <f t="shared" si="0"/>
        <v/>
      </c>
      <c r="O29" s="426"/>
      <c r="P29" s="324" t="str">
        <f>IF(D29="","",IFERROR(VLOOKUP(AD29,入力補助!$U$3:$V$94,2,FALSE),""))</f>
        <v/>
      </c>
      <c r="Q29" s="295" t="str">
        <f t="shared" si="9"/>
        <v/>
      </c>
      <c r="R29" s="428"/>
      <c r="S29" s="304" t="str">
        <f t="shared" si="10"/>
        <v/>
      </c>
      <c r="T29" s="396" t="str">
        <f t="shared" si="11"/>
        <v/>
      </c>
      <c r="U29" s="339" t="str">
        <f t="shared" si="12"/>
        <v/>
      </c>
      <c r="W29" s="396">
        <f t="shared" si="1"/>
        <v>0</v>
      </c>
      <c r="X29" s="396">
        <f t="shared" si="2"/>
        <v>0</v>
      </c>
      <c r="Y29" s="396" t="e">
        <f t="shared" si="3"/>
        <v>#VALUE!</v>
      </c>
      <c r="Z29" s="396" t="e">
        <f>VLOOKUP(D29,入力補助!$C$2:$Q$44,14,FALSE)</f>
        <v>#N/A</v>
      </c>
      <c r="AA29" s="396" t="e">
        <f>VLOOKUP(D29,入力補助!$C$2:$Q$44,15,FALSE)</f>
        <v>#N/A</v>
      </c>
      <c r="AB29" s="396" t="e">
        <f>VLOOKUP(D29,入力補助!$C$2:$R$44,16,FALSE)</f>
        <v>#N/A</v>
      </c>
      <c r="AC29" s="396" t="str">
        <f t="shared" si="4"/>
        <v>0</v>
      </c>
      <c r="AD29" s="396" t="e">
        <f t="shared" si="17"/>
        <v>#N/A</v>
      </c>
      <c r="AE29" s="396" t="e">
        <f t="shared" si="16"/>
        <v>#N/A</v>
      </c>
      <c r="AF29" s="396" t="e">
        <f t="shared" si="13"/>
        <v>#N/A</v>
      </c>
      <c r="AG29" s="237" t="e">
        <f>IF(AE29="","",VLOOKUP(IF(OR(AND($AV$9=TRUE,$AN$9=D29),AND($AW$9=TRUE,$AO$9=D29),AND($AX$9=TRUE,$AP$9=D29,E29&lt;50),AND($AU$9=TRUE,$AM$9=D29)),AE29,AF29),入力補助!$Z$3:$AA$94,2,FALSE))</f>
        <v>#N/A</v>
      </c>
      <c r="AH29" s="238" t="str">
        <f t="shared" si="5"/>
        <v/>
      </c>
      <c r="AI29" s="237" t="str">
        <f t="shared" si="6"/>
        <v/>
      </c>
      <c r="AJ29" s="239" t="str">
        <f>IFERROR(VLOOKUP(N29,コード表!$B$6:$BJ$3006,MATCH(AD29,コード表!$B$6:$BJ$6,0)),"")</f>
        <v/>
      </c>
    </row>
    <row r="30" spans="1:36" ht="20.399999999999999" customHeight="1">
      <c r="A30" s="384"/>
      <c r="C30" s="420"/>
      <c r="D30" s="418"/>
      <c r="E30" s="442"/>
      <c r="F30" s="420"/>
      <c r="G30" s="294" t="str">
        <f t="shared" si="7"/>
        <v/>
      </c>
      <c r="H30" s="296" t="str">
        <f t="shared" si="14"/>
        <v/>
      </c>
      <c r="I30" s="422"/>
      <c r="J30" s="298" t="str">
        <f t="shared" si="15"/>
        <v/>
      </c>
      <c r="K30" s="420"/>
      <c r="L30" s="300" t="str">
        <f t="shared" si="8"/>
        <v/>
      </c>
      <c r="M30" s="424"/>
      <c r="N30" s="302" t="str">
        <f t="shared" si="0"/>
        <v/>
      </c>
      <c r="O30" s="426"/>
      <c r="P30" s="324" t="str">
        <f>IF(D30="","",IFERROR(VLOOKUP(AD30,入力補助!$U$3:$V$94,2,FALSE),""))</f>
        <v/>
      </c>
      <c r="Q30" s="295" t="str">
        <f t="shared" si="9"/>
        <v/>
      </c>
      <c r="R30" s="428"/>
      <c r="S30" s="304" t="str">
        <f t="shared" si="10"/>
        <v/>
      </c>
      <c r="T30" s="396" t="str">
        <f t="shared" si="11"/>
        <v/>
      </c>
      <c r="U30" s="339" t="str">
        <f t="shared" si="12"/>
        <v/>
      </c>
      <c r="W30" s="396">
        <f t="shared" si="1"/>
        <v>0</v>
      </c>
      <c r="X30" s="396">
        <f t="shared" si="2"/>
        <v>0</v>
      </c>
      <c r="Y30" s="396" t="e">
        <f t="shared" si="3"/>
        <v>#VALUE!</v>
      </c>
      <c r="Z30" s="396" t="e">
        <f>VLOOKUP(D30,入力補助!$C$2:$Q$44,14,FALSE)</f>
        <v>#N/A</v>
      </c>
      <c r="AA30" s="396" t="e">
        <f>VLOOKUP(D30,入力補助!$C$2:$Q$44,15,FALSE)</f>
        <v>#N/A</v>
      </c>
      <c r="AB30" s="396" t="e">
        <f>VLOOKUP(D30,入力補助!$C$2:$R$44,16,FALSE)</f>
        <v>#N/A</v>
      </c>
      <c r="AC30" s="396" t="str">
        <f t="shared" si="4"/>
        <v>0</v>
      </c>
      <c r="AD30" s="396" t="e">
        <f t="shared" si="17"/>
        <v>#N/A</v>
      </c>
      <c r="AE30" s="396" t="e">
        <f t="shared" si="16"/>
        <v>#N/A</v>
      </c>
      <c r="AF30" s="396" t="e">
        <f t="shared" si="13"/>
        <v>#N/A</v>
      </c>
      <c r="AG30" s="237" t="e">
        <f>IF(AE30="","",VLOOKUP(IF(OR(AND($AV$9=TRUE,$AN$9=D30),AND($AW$9=TRUE,$AO$9=D30),AND($AX$9=TRUE,$AP$9=D30,E30&lt;50),AND($AU$9=TRUE,$AM$9=D30)),AE30,AF30),入力補助!$Z$3:$AA$94,2,FALSE))</f>
        <v>#N/A</v>
      </c>
      <c r="AH30" s="238" t="str">
        <f t="shared" si="5"/>
        <v/>
      </c>
      <c r="AI30" s="237" t="str">
        <f t="shared" si="6"/>
        <v/>
      </c>
      <c r="AJ30" s="239" t="str">
        <f>IFERROR(VLOOKUP(N30,コード表!$B$6:$BJ$3006,MATCH(AD30,コード表!$B$6:$BJ$6,0)),"")</f>
        <v/>
      </c>
    </row>
    <row r="31" spans="1:36" ht="20.399999999999999" customHeight="1">
      <c r="A31" s="384"/>
      <c r="C31" s="420"/>
      <c r="D31" s="418"/>
      <c r="E31" s="442"/>
      <c r="F31" s="420"/>
      <c r="G31" s="294" t="str">
        <f t="shared" si="7"/>
        <v/>
      </c>
      <c r="H31" s="296" t="str">
        <f t="shared" si="14"/>
        <v/>
      </c>
      <c r="I31" s="422"/>
      <c r="J31" s="298" t="str">
        <f t="shared" si="15"/>
        <v/>
      </c>
      <c r="K31" s="420"/>
      <c r="L31" s="300" t="str">
        <f t="shared" si="8"/>
        <v/>
      </c>
      <c r="M31" s="424"/>
      <c r="N31" s="302" t="str">
        <f t="shared" si="0"/>
        <v/>
      </c>
      <c r="O31" s="426"/>
      <c r="P31" s="324" t="str">
        <f>IF(D31="","",IFERROR(VLOOKUP(AD31,入力補助!$U$3:$V$94,2,FALSE),""))</f>
        <v/>
      </c>
      <c r="Q31" s="295" t="str">
        <f t="shared" si="9"/>
        <v/>
      </c>
      <c r="R31" s="428"/>
      <c r="S31" s="304" t="str">
        <f t="shared" si="10"/>
        <v/>
      </c>
      <c r="T31" s="396" t="str">
        <f t="shared" si="11"/>
        <v/>
      </c>
      <c r="U31" s="339" t="str">
        <f t="shared" si="12"/>
        <v/>
      </c>
      <c r="W31" s="396">
        <f t="shared" si="1"/>
        <v>0</v>
      </c>
      <c r="X31" s="396">
        <f t="shared" si="2"/>
        <v>0</v>
      </c>
      <c r="Y31" s="396" t="e">
        <f t="shared" si="3"/>
        <v>#VALUE!</v>
      </c>
      <c r="Z31" s="396" t="e">
        <f>VLOOKUP(D31,入力補助!$C$2:$Q$44,14,FALSE)</f>
        <v>#N/A</v>
      </c>
      <c r="AA31" s="396" t="e">
        <f>VLOOKUP(D31,入力補助!$C$2:$Q$44,15,FALSE)</f>
        <v>#N/A</v>
      </c>
      <c r="AB31" s="396" t="e">
        <f>VLOOKUP(D31,入力補助!$C$2:$R$44,16,FALSE)</f>
        <v>#N/A</v>
      </c>
      <c r="AC31" s="396" t="str">
        <f t="shared" si="4"/>
        <v>0</v>
      </c>
      <c r="AD31" s="396" t="e">
        <f t="shared" si="17"/>
        <v>#N/A</v>
      </c>
      <c r="AE31" s="396" t="e">
        <f t="shared" si="16"/>
        <v>#N/A</v>
      </c>
      <c r="AF31" s="396" t="e">
        <f t="shared" si="13"/>
        <v>#N/A</v>
      </c>
      <c r="AG31" s="237" t="e">
        <f>IF(AE31="","",VLOOKUP(IF(OR(AND($AV$9=TRUE,$AN$9=D31),AND($AW$9=TRUE,$AO$9=D31),AND($AX$9=TRUE,$AP$9=D31,E31&lt;50),AND($AU$9=TRUE,$AM$9=D31)),AE31,AF31),入力補助!$Z$3:$AA$94,2,FALSE))</f>
        <v>#N/A</v>
      </c>
      <c r="AH31" s="238" t="str">
        <f t="shared" si="5"/>
        <v/>
      </c>
      <c r="AI31" s="237" t="str">
        <f t="shared" si="6"/>
        <v/>
      </c>
      <c r="AJ31" s="239" t="str">
        <f>IFERROR(VLOOKUP(N31,コード表!$B$6:$BJ$3006,MATCH(AD31,コード表!$B$6:$BJ$6,0)),"")</f>
        <v/>
      </c>
    </row>
    <row r="32" spans="1:36" ht="20.399999999999999" customHeight="1">
      <c r="A32" s="384"/>
      <c r="C32" s="420"/>
      <c r="D32" s="418"/>
      <c r="E32" s="442"/>
      <c r="F32" s="420"/>
      <c r="G32" s="294" t="str">
        <f t="shared" si="7"/>
        <v/>
      </c>
      <c r="H32" s="296" t="str">
        <f t="shared" si="14"/>
        <v/>
      </c>
      <c r="I32" s="422"/>
      <c r="J32" s="298" t="str">
        <f t="shared" si="15"/>
        <v/>
      </c>
      <c r="K32" s="420"/>
      <c r="L32" s="300" t="str">
        <f t="shared" si="8"/>
        <v/>
      </c>
      <c r="M32" s="424"/>
      <c r="N32" s="302" t="str">
        <f t="shared" si="0"/>
        <v/>
      </c>
      <c r="O32" s="426"/>
      <c r="P32" s="324" t="str">
        <f>IF(D32="","",IFERROR(VLOOKUP(AD32,入力補助!$U$3:$V$94,2,FALSE),""))</f>
        <v/>
      </c>
      <c r="Q32" s="295" t="str">
        <f t="shared" si="9"/>
        <v/>
      </c>
      <c r="R32" s="428"/>
      <c r="S32" s="304" t="str">
        <f t="shared" si="10"/>
        <v/>
      </c>
      <c r="T32" s="396" t="str">
        <f t="shared" si="11"/>
        <v/>
      </c>
      <c r="U32" s="339" t="str">
        <f t="shared" si="12"/>
        <v/>
      </c>
      <c r="W32" s="396">
        <f t="shared" si="1"/>
        <v>0</v>
      </c>
      <c r="X32" s="396">
        <f t="shared" si="2"/>
        <v>0</v>
      </c>
      <c r="Y32" s="396" t="e">
        <f t="shared" si="3"/>
        <v>#VALUE!</v>
      </c>
      <c r="Z32" s="396" t="e">
        <f>VLOOKUP(D32,入力補助!$C$2:$Q$44,14,FALSE)</f>
        <v>#N/A</v>
      </c>
      <c r="AA32" s="396" t="e">
        <f>VLOOKUP(D32,入力補助!$C$2:$Q$44,15,FALSE)</f>
        <v>#N/A</v>
      </c>
      <c r="AB32" s="396" t="e">
        <f>VLOOKUP(D32,入力補助!$C$2:$R$44,16,FALSE)</f>
        <v>#N/A</v>
      </c>
      <c r="AC32" s="396" t="str">
        <f t="shared" si="4"/>
        <v>0</v>
      </c>
      <c r="AD32" s="396" t="e">
        <f t="shared" si="17"/>
        <v>#N/A</v>
      </c>
      <c r="AE32" s="396" t="e">
        <f t="shared" si="16"/>
        <v>#N/A</v>
      </c>
      <c r="AF32" s="396" t="e">
        <f t="shared" si="13"/>
        <v>#N/A</v>
      </c>
      <c r="AG32" s="237" t="e">
        <f>IF(AE32="","",VLOOKUP(IF(OR(AND($AV$9=TRUE,$AN$9=D32),AND($AW$9=TRUE,$AO$9=D32),AND($AX$9=TRUE,$AP$9=D32,E32&lt;50),AND($AU$9=TRUE,$AM$9=D32)),AE32,AF32),入力補助!$Z$3:$AA$94,2,FALSE))</f>
        <v>#N/A</v>
      </c>
      <c r="AH32" s="238" t="str">
        <f t="shared" si="5"/>
        <v/>
      </c>
      <c r="AI32" s="237" t="str">
        <f t="shared" si="6"/>
        <v/>
      </c>
      <c r="AJ32" s="239" t="str">
        <f>IFERROR(VLOOKUP(N32,コード表!$B$6:$BJ$3006,MATCH(AD32,コード表!$B$6:$BJ$6,0)),"")</f>
        <v/>
      </c>
    </row>
    <row r="33" spans="1:36" ht="20.399999999999999" customHeight="1">
      <c r="A33" s="384"/>
      <c r="C33" s="420"/>
      <c r="D33" s="418"/>
      <c r="E33" s="442"/>
      <c r="F33" s="420"/>
      <c r="G33" s="294" t="str">
        <f t="shared" si="7"/>
        <v/>
      </c>
      <c r="H33" s="296" t="str">
        <f t="shared" si="14"/>
        <v/>
      </c>
      <c r="I33" s="422"/>
      <c r="J33" s="298" t="str">
        <f t="shared" si="15"/>
        <v/>
      </c>
      <c r="K33" s="420"/>
      <c r="L33" s="300" t="str">
        <f t="shared" si="8"/>
        <v/>
      </c>
      <c r="M33" s="424"/>
      <c r="N33" s="302" t="str">
        <f t="shared" si="0"/>
        <v/>
      </c>
      <c r="O33" s="426"/>
      <c r="P33" s="324" t="str">
        <f>IF(D33="","",IFERROR(VLOOKUP(AD33,入力補助!$U$3:$V$94,2,FALSE),""))</f>
        <v/>
      </c>
      <c r="Q33" s="295" t="str">
        <f t="shared" si="9"/>
        <v/>
      </c>
      <c r="R33" s="428"/>
      <c r="S33" s="304" t="str">
        <f t="shared" si="10"/>
        <v/>
      </c>
      <c r="T33" s="396" t="str">
        <f t="shared" si="11"/>
        <v/>
      </c>
      <c r="U33" s="339" t="str">
        <f t="shared" si="12"/>
        <v/>
      </c>
      <c r="W33" s="396">
        <f t="shared" si="1"/>
        <v>0</v>
      </c>
      <c r="X33" s="396">
        <f t="shared" si="2"/>
        <v>0</v>
      </c>
      <c r="Y33" s="396" t="e">
        <f t="shared" si="3"/>
        <v>#VALUE!</v>
      </c>
      <c r="Z33" s="396" t="e">
        <f>VLOOKUP(D33,入力補助!$C$2:$Q$44,14,FALSE)</f>
        <v>#N/A</v>
      </c>
      <c r="AA33" s="396" t="e">
        <f>VLOOKUP(D33,入力補助!$C$2:$Q$44,15,FALSE)</f>
        <v>#N/A</v>
      </c>
      <c r="AB33" s="396" t="e">
        <f>VLOOKUP(D33,入力補助!$C$2:$R$44,16,FALSE)</f>
        <v>#N/A</v>
      </c>
      <c r="AC33" s="396" t="str">
        <f t="shared" si="4"/>
        <v>0</v>
      </c>
      <c r="AD33" s="396" t="e">
        <f t="shared" si="17"/>
        <v>#N/A</v>
      </c>
      <c r="AE33" s="396" t="e">
        <f t="shared" si="16"/>
        <v>#N/A</v>
      </c>
      <c r="AF33" s="396" t="e">
        <f t="shared" si="13"/>
        <v>#N/A</v>
      </c>
      <c r="AG33" s="237" t="e">
        <f>IF(AE33="","",VLOOKUP(IF(OR(AND($AV$9=TRUE,$AN$9=D33),AND($AW$9=TRUE,$AO$9=D33),AND($AX$9=TRUE,$AP$9=D33,E33&lt;50),AND($AU$9=TRUE,$AM$9=D33)),AE33,AF33),入力補助!$Z$3:$AA$94,2,FALSE))</f>
        <v>#N/A</v>
      </c>
      <c r="AH33" s="238" t="str">
        <f t="shared" si="5"/>
        <v/>
      </c>
      <c r="AI33" s="237" t="str">
        <f t="shared" si="6"/>
        <v/>
      </c>
      <c r="AJ33" s="239" t="str">
        <f>IFERROR(VLOOKUP(N33,コード表!$B$6:$BJ$3006,MATCH(AD33,コード表!$B$6:$BJ$6,0)),"")</f>
        <v/>
      </c>
    </row>
    <row r="34" spans="1:36" ht="20.399999999999999" customHeight="1">
      <c r="A34" s="384"/>
      <c r="C34" s="420"/>
      <c r="D34" s="418"/>
      <c r="E34" s="442"/>
      <c r="F34" s="420"/>
      <c r="G34" s="294" t="str">
        <f t="shared" si="7"/>
        <v/>
      </c>
      <c r="H34" s="296" t="str">
        <f t="shared" si="14"/>
        <v/>
      </c>
      <c r="I34" s="422"/>
      <c r="J34" s="298" t="str">
        <f t="shared" si="15"/>
        <v/>
      </c>
      <c r="K34" s="420"/>
      <c r="L34" s="300" t="str">
        <f t="shared" si="8"/>
        <v/>
      </c>
      <c r="M34" s="424"/>
      <c r="N34" s="302" t="str">
        <f t="shared" si="0"/>
        <v/>
      </c>
      <c r="O34" s="426"/>
      <c r="P34" s="324" t="str">
        <f>IF(D34="","",IFERROR(VLOOKUP(AD34,入力補助!$U$3:$V$94,2,FALSE),""))</f>
        <v/>
      </c>
      <c r="Q34" s="295" t="str">
        <f t="shared" si="9"/>
        <v/>
      </c>
      <c r="R34" s="428"/>
      <c r="S34" s="304" t="str">
        <f t="shared" si="10"/>
        <v/>
      </c>
      <c r="T34" s="396" t="str">
        <f t="shared" si="11"/>
        <v/>
      </c>
      <c r="U34" s="339" t="str">
        <f t="shared" si="12"/>
        <v/>
      </c>
      <c r="W34" s="396">
        <f t="shared" si="1"/>
        <v>0</v>
      </c>
      <c r="X34" s="396">
        <f t="shared" si="2"/>
        <v>0</v>
      </c>
      <c r="Y34" s="396" t="e">
        <f t="shared" si="3"/>
        <v>#VALUE!</v>
      </c>
      <c r="Z34" s="396" t="e">
        <f>VLOOKUP(D34,入力補助!$C$2:$Q$44,14,FALSE)</f>
        <v>#N/A</v>
      </c>
      <c r="AA34" s="396" t="e">
        <f>VLOOKUP(D34,入力補助!$C$2:$Q$44,15,FALSE)</f>
        <v>#N/A</v>
      </c>
      <c r="AB34" s="396" t="e">
        <f>VLOOKUP(D34,入力補助!$C$2:$R$44,16,FALSE)</f>
        <v>#N/A</v>
      </c>
      <c r="AC34" s="396" t="str">
        <f t="shared" si="4"/>
        <v>0</v>
      </c>
      <c r="AD34" s="396" t="e">
        <f t="shared" si="17"/>
        <v>#N/A</v>
      </c>
      <c r="AE34" s="396" t="e">
        <f t="shared" si="16"/>
        <v>#N/A</v>
      </c>
      <c r="AF34" s="396" t="e">
        <f t="shared" si="13"/>
        <v>#N/A</v>
      </c>
      <c r="AG34" s="237" t="e">
        <f>IF(AE34="","",VLOOKUP(IF(OR(AND($AV$9=TRUE,$AN$9=D34),AND($AW$9=TRUE,$AO$9=D34),AND($AX$9=TRUE,$AP$9=D34,E34&lt;50),AND($AU$9=TRUE,$AM$9=D34)),AE34,AF34),入力補助!$Z$3:$AA$94,2,FALSE))</f>
        <v>#N/A</v>
      </c>
      <c r="AH34" s="238" t="str">
        <f t="shared" si="5"/>
        <v/>
      </c>
      <c r="AI34" s="237" t="str">
        <f t="shared" si="6"/>
        <v/>
      </c>
      <c r="AJ34" s="239" t="str">
        <f>IFERROR(VLOOKUP(N34,コード表!$B$6:$BJ$3006,MATCH(AD34,コード表!$B$6:$BJ$6,0)),"")</f>
        <v/>
      </c>
    </row>
    <row r="35" spans="1:36" ht="20.399999999999999" customHeight="1">
      <c r="A35" s="384"/>
      <c r="C35" s="420"/>
      <c r="D35" s="418"/>
      <c r="E35" s="442"/>
      <c r="F35" s="420"/>
      <c r="G35" s="294" t="str">
        <f t="shared" si="7"/>
        <v/>
      </c>
      <c r="H35" s="296" t="str">
        <f t="shared" si="14"/>
        <v/>
      </c>
      <c r="I35" s="422"/>
      <c r="J35" s="298" t="str">
        <f t="shared" si="15"/>
        <v/>
      </c>
      <c r="K35" s="420"/>
      <c r="L35" s="300" t="str">
        <f t="shared" si="8"/>
        <v/>
      </c>
      <c r="M35" s="424"/>
      <c r="N35" s="302" t="str">
        <f t="shared" si="0"/>
        <v/>
      </c>
      <c r="O35" s="426"/>
      <c r="P35" s="324" t="str">
        <f>IF(D35="","",IFERROR(VLOOKUP(AD35,入力補助!$U$3:$V$94,2,FALSE),""))</f>
        <v/>
      </c>
      <c r="Q35" s="295" t="str">
        <f t="shared" si="9"/>
        <v/>
      </c>
      <c r="R35" s="428"/>
      <c r="S35" s="304" t="str">
        <f t="shared" si="10"/>
        <v/>
      </c>
      <c r="T35" s="396" t="str">
        <f t="shared" si="11"/>
        <v/>
      </c>
      <c r="U35" s="339" t="str">
        <f t="shared" si="12"/>
        <v/>
      </c>
      <c r="W35" s="396">
        <f t="shared" si="1"/>
        <v>0</v>
      </c>
      <c r="X35" s="396">
        <f t="shared" si="2"/>
        <v>0</v>
      </c>
      <c r="Y35" s="396" t="e">
        <f t="shared" si="3"/>
        <v>#VALUE!</v>
      </c>
      <c r="Z35" s="396" t="e">
        <f>VLOOKUP(D35,入力補助!$C$2:$Q$44,14,FALSE)</f>
        <v>#N/A</v>
      </c>
      <c r="AA35" s="396" t="e">
        <f>VLOOKUP(D35,入力補助!$C$2:$Q$44,15,FALSE)</f>
        <v>#N/A</v>
      </c>
      <c r="AB35" s="396" t="e">
        <f>VLOOKUP(D35,入力補助!$C$2:$R$44,16,FALSE)</f>
        <v>#N/A</v>
      </c>
      <c r="AC35" s="396" t="str">
        <f t="shared" si="4"/>
        <v>0</v>
      </c>
      <c r="AD35" s="396" t="e">
        <f t="shared" si="17"/>
        <v>#N/A</v>
      </c>
      <c r="AE35" s="396" t="e">
        <f t="shared" si="16"/>
        <v>#N/A</v>
      </c>
      <c r="AF35" s="396" t="e">
        <f t="shared" si="13"/>
        <v>#N/A</v>
      </c>
      <c r="AG35" s="237" t="e">
        <f>IF(AE35="","",VLOOKUP(IF(OR(AND($AV$9=TRUE,$AN$9=D35),AND($AW$9=TRUE,$AO$9=D35),AND($AX$9=TRUE,$AP$9=D35,E35&lt;50),AND($AU$9=TRUE,$AM$9=D35)),AE35,AF35),入力補助!$Z$3:$AA$94,2,FALSE))</f>
        <v>#N/A</v>
      </c>
      <c r="AH35" s="238" t="str">
        <f t="shared" si="5"/>
        <v/>
      </c>
      <c r="AI35" s="237" t="str">
        <f t="shared" si="6"/>
        <v/>
      </c>
      <c r="AJ35" s="239" t="str">
        <f>IFERROR(VLOOKUP(N35,コード表!$B$6:$BJ$3006,MATCH(AD35,コード表!$B$6:$BJ$6,0)),"")</f>
        <v/>
      </c>
    </row>
    <row r="36" spans="1:36" ht="20.399999999999999" customHeight="1">
      <c r="A36" s="384"/>
      <c r="C36" s="420"/>
      <c r="D36" s="418"/>
      <c r="E36" s="442"/>
      <c r="F36" s="420"/>
      <c r="G36" s="294" t="str">
        <f t="shared" si="7"/>
        <v/>
      </c>
      <c r="H36" s="296" t="str">
        <f t="shared" si="14"/>
        <v/>
      </c>
      <c r="I36" s="422"/>
      <c r="J36" s="298" t="str">
        <f t="shared" si="15"/>
        <v/>
      </c>
      <c r="K36" s="420"/>
      <c r="L36" s="300" t="str">
        <f t="shared" si="8"/>
        <v/>
      </c>
      <c r="M36" s="424"/>
      <c r="N36" s="302" t="str">
        <f t="shared" si="0"/>
        <v/>
      </c>
      <c r="O36" s="426"/>
      <c r="P36" s="324" t="str">
        <f>IF(D36="","",IFERROR(VLOOKUP(AD36,入力補助!$U$3:$V$94,2,FALSE),""))</f>
        <v/>
      </c>
      <c r="Q36" s="295" t="str">
        <f t="shared" si="9"/>
        <v/>
      </c>
      <c r="R36" s="428"/>
      <c r="S36" s="304" t="str">
        <f t="shared" si="10"/>
        <v/>
      </c>
      <c r="T36" s="396" t="str">
        <f t="shared" si="11"/>
        <v/>
      </c>
      <c r="U36" s="339" t="str">
        <f t="shared" si="12"/>
        <v/>
      </c>
      <c r="W36" s="396">
        <f t="shared" si="1"/>
        <v>0</v>
      </c>
      <c r="X36" s="396">
        <f t="shared" si="2"/>
        <v>0</v>
      </c>
      <c r="Y36" s="396" t="e">
        <f t="shared" si="3"/>
        <v>#VALUE!</v>
      </c>
      <c r="Z36" s="396" t="e">
        <f>VLOOKUP(D36,入力補助!$C$2:$Q$44,14,FALSE)</f>
        <v>#N/A</v>
      </c>
      <c r="AA36" s="396" t="e">
        <f>VLOOKUP(D36,入力補助!$C$2:$Q$44,15,FALSE)</f>
        <v>#N/A</v>
      </c>
      <c r="AB36" s="396" t="e">
        <f>VLOOKUP(D36,入力補助!$C$2:$R$44,16,FALSE)</f>
        <v>#N/A</v>
      </c>
      <c r="AC36" s="396" t="str">
        <f t="shared" si="4"/>
        <v>0</v>
      </c>
      <c r="AD36" s="396" t="e">
        <f t="shared" si="17"/>
        <v>#N/A</v>
      </c>
      <c r="AE36" s="396" t="e">
        <f t="shared" si="16"/>
        <v>#N/A</v>
      </c>
      <c r="AF36" s="396" t="e">
        <f t="shared" si="13"/>
        <v>#N/A</v>
      </c>
      <c r="AG36" s="237" t="e">
        <f>IF(AE36="","",VLOOKUP(IF(OR(AND($AV$9=TRUE,$AN$9=D36),AND($AW$9=TRUE,$AO$9=D36),AND($AX$9=TRUE,$AP$9=D36,E36&lt;50),AND($AU$9=TRUE,$AM$9=D36)),AE36,AF36),入力補助!$Z$3:$AA$94,2,FALSE))</f>
        <v>#N/A</v>
      </c>
      <c r="AH36" s="238" t="str">
        <f t="shared" si="5"/>
        <v/>
      </c>
      <c r="AI36" s="237" t="str">
        <f t="shared" si="6"/>
        <v/>
      </c>
      <c r="AJ36" s="239" t="str">
        <f>IFERROR(VLOOKUP(N36,コード表!$B$6:$BJ$3006,MATCH(AD36,コード表!$B$6:$BJ$6,0)),"")</f>
        <v/>
      </c>
    </row>
    <row r="37" spans="1:36" ht="20.399999999999999" customHeight="1">
      <c r="A37" s="384"/>
      <c r="C37" s="420"/>
      <c r="D37" s="433"/>
      <c r="E37" s="442"/>
      <c r="F37" s="420"/>
      <c r="G37" s="294" t="str">
        <f t="shared" si="7"/>
        <v/>
      </c>
      <c r="H37" s="296" t="str">
        <f t="shared" si="14"/>
        <v/>
      </c>
      <c r="I37" s="422"/>
      <c r="J37" s="298" t="str">
        <f t="shared" si="15"/>
        <v/>
      </c>
      <c r="K37" s="420"/>
      <c r="L37" s="300" t="str">
        <f t="shared" si="8"/>
        <v/>
      </c>
      <c r="M37" s="424"/>
      <c r="N37" s="302" t="str">
        <f t="shared" si="0"/>
        <v/>
      </c>
      <c r="O37" s="426"/>
      <c r="P37" s="324" t="str">
        <f>IF(D37="","",IFERROR(VLOOKUP(AD37,入力補助!$U$3:$V$94,2,FALSE),""))</f>
        <v/>
      </c>
      <c r="Q37" s="295" t="str">
        <f t="shared" si="9"/>
        <v/>
      </c>
      <c r="R37" s="428"/>
      <c r="S37" s="304" t="str">
        <f t="shared" si="10"/>
        <v/>
      </c>
      <c r="T37" s="396" t="str">
        <f t="shared" si="11"/>
        <v/>
      </c>
      <c r="U37" s="339" t="str">
        <f t="shared" si="12"/>
        <v/>
      </c>
      <c r="W37" s="396">
        <f t="shared" si="1"/>
        <v>0</v>
      </c>
      <c r="X37" s="396">
        <f t="shared" si="2"/>
        <v>0</v>
      </c>
      <c r="Y37" s="396" t="e">
        <f t="shared" si="3"/>
        <v>#VALUE!</v>
      </c>
      <c r="Z37" s="396" t="e">
        <f>VLOOKUP(D37,入力補助!$C$2:$Q$44,14,FALSE)</f>
        <v>#N/A</v>
      </c>
      <c r="AA37" s="396" t="e">
        <f>VLOOKUP(D37,入力補助!$C$2:$Q$44,15,FALSE)</f>
        <v>#N/A</v>
      </c>
      <c r="AB37" s="396" t="e">
        <f>VLOOKUP(D37,入力補助!$C$2:$R$44,16,FALSE)</f>
        <v>#N/A</v>
      </c>
      <c r="AC37" s="396" t="str">
        <f t="shared" si="4"/>
        <v>0</v>
      </c>
      <c r="AD37" s="396" t="e">
        <f t="shared" si="17"/>
        <v>#N/A</v>
      </c>
      <c r="AE37" s="396" t="e">
        <f t="shared" si="16"/>
        <v>#N/A</v>
      </c>
      <c r="AF37" s="396" t="e">
        <f t="shared" si="13"/>
        <v>#N/A</v>
      </c>
      <c r="AG37" s="237" t="e">
        <f>IF(AE37="","",VLOOKUP(IF(OR(AND($AV$9=TRUE,$AN$9=D37),AND($AW$9=TRUE,$AO$9=D37),AND($AX$9=TRUE,$AP$9=D37,E37&lt;50),AND($AU$9=TRUE,$AM$9=D37)),AE37,AF37),入力補助!$Z$3:$AA$94,2,FALSE))</f>
        <v>#N/A</v>
      </c>
      <c r="AH37" s="238" t="str">
        <f t="shared" si="5"/>
        <v/>
      </c>
      <c r="AI37" s="237" t="str">
        <f t="shared" si="6"/>
        <v/>
      </c>
      <c r="AJ37" s="239" t="str">
        <f>IFERROR(VLOOKUP(N37,コード表!$B$6:$BJ$3006,MATCH(AD37,コード表!$B$6:$BJ$6,0)),"")</f>
        <v/>
      </c>
    </row>
    <row r="38" spans="1:36" ht="20.399999999999999" customHeight="1">
      <c r="A38" s="384"/>
      <c r="C38" s="420"/>
      <c r="D38" s="418"/>
      <c r="E38" s="442"/>
      <c r="F38" s="420"/>
      <c r="G38" s="294" t="str">
        <f t="shared" si="7"/>
        <v/>
      </c>
      <c r="H38" s="296" t="str">
        <f t="shared" si="14"/>
        <v/>
      </c>
      <c r="I38" s="422"/>
      <c r="J38" s="298" t="str">
        <f t="shared" si="15"/>
        <v/>
      </c>
      <c r="K38" s="420"/>
      <c r="L38" s="300" t="str">
        <f t="shared" si="8"/>
        <v/>
      </c>
      <c r="M38" s="424"/>
      <c r="N38" s="302" t="str">
        <f t="shared" si="0"/>
        <v/>
      </c>
      <c r="O38" s="426"/>
      <c r="P38" s="324" t="str">
        <f>IF(D38="","",IFERROR(VLOOKUP(AD38,入力補助!$U$3:$V$94,2,FALSE),""))</f>
        <v/>
      </c>
      <c r="Q38" s="295" t="str">
        <f t="shared" si="9"/>
        <v/>
      </c>
      <c r="R38" s="428"/>
      <c r="S38" s="304" t="str">
        <f t="shared" si="10"/>
        <v/>
      </c>
      <c r="T38" s="396" t="str">
        <f t="shared" si="11"/>
        <v/>
      </c>
      <c r="U38" s="339" t="str">
        <f t="shared" si="12"/>
        <v/>
      </c>
      <c r="W38" s="396">
        <f t="shared" si="1"/>
        <v>0</v>
      </c>
      <c r="X38" s="396">
        <f t="shared" si="2"/>
        <v>0</v>
      </c>
      <c r="Y38" s="396" t="e">
        <f t="shared" si="3"/>
        <v>#VALUE!</v>
      </c>
      <c r="Z38" s="396" t="e">
        <f>VLOOKUP(D38,入力補助!$C$2:$Q$44,14,FALSE)</f>
        <v>#N/A</v>
      </c>
      <c r="AA38" s="396" t="e">
        <f>VLOOKUP(D38,入力補助!$C$2:$Q$44,15,FALSE)</f>
        <v>#N/A</v>
      </c>
      <c r="AB38" s="396" t="e">
        <f>VLOOKUP(D38,入力補助!$C$2:$R$44,16,FALSE)</f>
        <v>#N/A</v>
      </c>
      <c r="AC38" s="396" t="str">
        <f t="shared" si="4"/>
        <v>0</v>
      </c>
      <c r="AD38" s="396" t="e">
        <f t="shared" si="17"/>
        <v>#N/A</v>
      </c>
      <c r="AE38" s="396" t="e">
        <f t="shared" si="16"/>
        <v>#N/A</v>
      </c>
      <c r="AF38" s="396" t="e">
        <f t="shared" si="13"/>
        <v>#N/A</v>
      </c>
      <c r="AG38" s="237" t="e">
        <f>IF(AE38="","",VLOOKUP(IF(OR(AND($AV$9=TRUE,$AN$9=D38),AND($AW$9=TRUE,$AO$9=D38),AND($AX$9=TRUE,$AP$9=D38,E38&lt;50),AND($AU$9=TRUE,$AM$9=D38)),AE38,AF38),入力補助!$Z$3:$AA$94,2,FALSE))</f>
        <v>#N/A</v>
      </c>
      <c r="AH38" s="238" t="str">
        <f t="shared" si="5"/>
        <v/>
      </c>
      <c r="AI38" s="237" t="str">
        <f t="shared" si="6"/>
        <v/>
      </c>
      <c r="AJ38" s="239" t="str">
        <f>IFERROR(VLOOKUP(N38,コード表!$B$6:$BJ$3006,MATCH(AD38,コード表!$B$6:$BJ$6,0)),"")</f>
        <v/>
      </c>
    </row>
    <row r="39" spans="1:36" ht="20.399999999999999" customHeight="1">
      <c r="A39" s="384"/>
      <c r="C39" s="420"/>
      <c r="D39" s="418"/>
      <c r="E39" s="442"/>
      <c r="F39" s="420"/>
      <c r="G39" s="294" t="str">
        <f t="shared" si="7"/>
        <v/>
      </c>
      <c r="H39" s="296" t="str">
        <f t="shared" si="14"/>
        <v/>
      </c>
      <c r="I39" s="422"/>
      <c r="J39" s="298" t="str">
        <f t="shared" si="15"/>
        <v/>
      </c>
      <c r="K39" s="420"/>
      <c r="L39" s="300" t="str">
        <f t="shared" si="8"/>
        <v/>
      </c>
      <c r="M39" s="424"/>
      <c r="N39" s="302" t="str">
        <f t="shared" si="0"/>
        <v/>
      </c>
      <c r="O39" s="426"/>
      <c r="P39" s="324" t="str">
        <f>IF(D39="","",IFERROR(VLOOKUP(AD39,入力補助!$U$3:$V$94,2,FALSE),""))</f>
        <v/>
      </c>
      <c r="Q39" s="295" t="str">
        <f t="shared" si="9"/>
        <v/>
      </c>
      <c r="R39" s="428"/>
      <c r="S39" s="304" t="str">
        <f t="shared" si="10"/>
        <v/>
      </c>
      <c r="T39" s="396" t="str">
        <f t="shared" si="11"/>
        <v/>
      </c>
      <c r="U39" s="339" t="str">
        <f t="shared" si="12"/>
        <v/>
      </c>
      <c r="W39" s="396">
        <f t="shared" si="1"/>
        <v>0</v>
      </c>
      <c r="X39" s="396">
        <f t="shared" si="2"/>
        <v>0</v>
      </c>
      <c r="Y39" s="396" t="e">
        <f t="shared" si="3"/>
        <v>#VALUE!</v>
      </c>
      <c r="Z39" s="396" t="e">
        <f>VLOOKUP(D39,入力補助!$C$2:$Q$44,14,FALSE)</f>
        <v>#N/A</v>
      </c>
      <c r="AA39" s="396" t="e">
        <f>VLOOKUP(D39,入力補助!$C$2:$Q$44,15,FALSE)</f>
        <v>#N/A</v>
      </c>
      <c r="AB39" s="396" t="e">
        <f>VLOOKUP(D39,入力補助!$C$2:$R$44,16,FALSE)</f>
        <v>#N/A</v>
      </c>
      <c r="AC39" s="396" t="str">
        <f t="shared" si="4"/>
        <v>0</v>
      </c>
      <c r="AD39" s="396" t="e">
        <f t="shared" si="17"/>
        <v>#N/A</v>
      </c>
      <c r="AE39" s="396" t="e">
        <f t="shared" si="16"/>
        <v>#N/A</v>
      </c>
      <c r="AF39" s="396" t="e">
        <f t="shared" si="13"/>
        <v>#N/A</v>
      </c>
      <c r="AG39" s="237" t="e">
        <f>IF(AE39="","",VLOOKUP(IF(OR(AND($AV$9=TRUE,$AN$9=D39),AND($AW$9=TRUE,$AO$9=D39),AND($AX$9=TRUE,$AP$9=D39,E39&lt;50),AND($AU$9=TRUE,$AM$9=D39)),AE39,AF39),入力補助!$Z$3:$AA$94,2,FALSE))</f>
        <v>#N/A</v>
      </c>
      <c r="AH39" s="238" t="str">
        <f t="shared" si="5"/>
        <v/>
      </c>
      <c r="AI39" s="237" t="str">
        <f t="shared" si="6"/>
        <v/>
      </c>
      <c r="AJ39" s="239" t="str">
        <f>IFERROR(VLOOKUP(N39,コード表!$B$6:$BJ$3006,MATCH(AD39,コード表!$B$6:$BJ$6,0)),"")</f>
        <v/>
      </c>
    </row>
    <row r="40" spans="1:36" ht="20.399999999999999" customHeight="1">
      <c r="A40" s="384"/>
      <c r="C40" s="420"/>
      <c r="D40" s="418"/>
      <c r="E40" s="442"/>
      <c r="F40" s="420"/>
      <c r="G40" s="294" t="str">
        <f t="shared" si="7"/>
        <v/>
      </c>
      <c r="H40" s="296" t="str">
        <f t="shared" si="14"/>
        <v/>
      </c>
      <c r="I40" s="422"/>
      <c r="J40" s="298" t="str">
        <f t="shared" si="15"/>
        <v/>
      </c>
      <c r="K40" s="420"/>
      <c r="L40" s="300" t="str">
        <f t="shared" si="8"/>
        <v/>
      </c>
      <c r="M40" s="424"/>
      <c r="N40" s="302" t="str">
        <f t="shared" si="0"/>
        <v/>
      </c>
      <c r="O40" s="426"/>
      <c r="P40" s="324" t="str">
        <f>IF(D40="","",IFERROR(VLOOKUP(AD40,入力補助!$U$3:$V$94,2,FALSE),""))</f>
        <v/>
      </c>
      <c r="Q40" s="295" t="str">
        <f t="shared" si="9"/>
        <v/>
      </c>
      <c r="R40" s="428"/>
      <c r="S40" s="304" t="str">
        <f t="shared" si="10"/>
        <v/>
      </c>
      <c r="T40" s="396" t="str">
        <f t="shared" si="11"/>
        <v/>
      </c>
      <c r="U40" s="339" t="str">
        <f t="shared" si="12"/>
        <v/>
      </c>
      <c r="W40" s="396">
        <f t="shared" si="1"/>
        <v>0</v>
      </c>
      <c r="X40" s="396">
        <f t="shared" si="2"/>
        <v>0</v>
      </c>
      <c r="Y40" s="396" t="e">
        <f t="shared" si="3"/>
        <v>#VALUE!</v>
      </c>
      <c r="Z40" s="396" t="e">
        <f>VLOOKUP(D40,入力補助!$C$2:$Q$44,14,FALSE)</f>
        <v>#N/A</v>
      </c>
      <c r="AA40" s="396" t="e">
        <f>VLOOKUP(D40,入力補助!$C$2:$Q$44,15,FALSE)</f>
        <v>#N/A</v>
      </c>
      <c r="AB40" s="396" t="e">
        <f>VLOOKUP(D40,入力補助!$C$2:$R$44,16,FALSE)</f>
        <v>#N/A</v>
      </c>
      <c r="AC40" s="396" t="str">
        <f t="shared" si="4"/>
        <v>0</v>
      </c>
      <c r="AD40" s="396" t="e">
        <f t="shared" si="17"/>
        <v>#N/A</v>
      </c>
      <c r="AE40" s="396" t="e">
        <f t="shared" si="16"/>
        <v>#N/A</v>
      </c>
      <c r="AF40" s="396" t="e">
        <f t="shared" si="13"/>
        <v>#N/A</v>
      </c>
      <c r="AG40" s="237" t="e">
        <f>IF(AE40="","",VLOOKUP(IF(OR(AND($AV$9=TRUE,$AN$9=D40),AND($AW$9=TRUE,$AO$9=D40),AND($AX$9=TRUE,$AP$9=D40,E40&lt;50),AND($AU$9=TRUE,$AM$9=D40)),AE40,AF40),入力補助!$Z$3:$AA$94,2,FALSE))</f>
        <v>#N/A</v>
      </c>
      <c r="AH40" s="238" t="str">
        <f t="shared" si="5"/>
        <v/>
      </c>
      <c r="AI40" s="237" t="str">
        <f t="shared" si="6"/>
        <v/>
      </c>
      <c r="AJ40" s="239" t="str">
        <f>IFERROR(VLOOKUP(N40,コード表!$B$6:$BJ$3006,MATCH(AD40,コード表!$B$6:$BJ$6,0)),"")</f>
        <v/>
      </c>
    </row>
    <row r="41" spans="1:36" ht="20.399999999999999" customHeight="1">
      <c r="A41" s="384"/>
      <c r="C41" s="420"/>
      <c r="D41" s="418"/>
      <c r="E41" s="442"/>
      <c r="F41" s="420"/>
      <c r="G41" s="294" t="str">
        <f t="shared" si="7"/>
        <v/>
      </c>
      <c r="H41" s="296" t="str">
        <f t="shared" si="14"/>
        <v/>
      </c>
      <c r="I41" s="422"/>
      <c r="J41" s="298" t="str">
        <f t="shared" si="15"/>
        <v/>
      </c>
      <c r="K41" s="420"/>
      <c r="L41" s="300" t="str">
        <f t="shared" si="8"/>
        <v/>
      </c>
      <c r="M41" s="424"/>
      <c r="N41" s="302" t="str">
        <f t="shared" si="0"/>
        <v/>
      </c>
      <c r="O41" s="426"/>
      <c r="P41" s="324" t="str">
        <f>IF(D41="","",IFERROR(VLOOKUP(AD41,入力補助!$U$3:$V$94,2,FALSE),""))</f>
        <v/>
      </c>
      <c r="Q41" s="295" t="str">
        <f t="shared" si="9"/>
        <v/>
      </c>
      <c r="R41" s="428"/>
      <c r="S41" s="304" t="str">
        <f t="shared" si="10"/>
        <v/>
      </c>
      <c r="T41" s="396" t="str">
        <f t="shared" si="11"/>
        <v/>
      </c>
      <c r="U41" s="339" t="str">
        <f t="shared" si="12"/>
        <v/>
      </c>
      <c r="W41" s="396">
        <f t="shared" si="1"/>
        <v>0</v>
      </c>
      <c r="X41" s="396">
        <f t="shared" si="2"/>
        <v>0</v>
      </c>
      <c r="Y41" s="396" t="e">
        <f t="shared" si="3"/>
        <v>#VALUE!</v>
      </c>
      <c r="Z41" s="396" t="e">
        <f>VLOOKUP(D41,入力補助!$C$2:$Q$44,14,FALSE)</f>
        <v>#N/A</v>
      </c>
      <c r="AA41" s="396" t="e">
        <f>VLOOKUP(D41,入力補助!$C$2:$Q$44,15,FALSE)</f>
        <v>#N/A</v>
      </c>
      <c r="AB41" s="396" t="e">
        <f>VLOOKUP(D41,入力補助!$C$2:$R$44,16,FALSE)</f>
        <v>#N/A</v>
      </c>
      <c r="AC41" s="396" t="str">
        <f t="shared" si="4"/>
        <v>0</v>
      </c>
      <c r="AD41" s="396" t="e">
        <f t="shared" si="17"/>
        <v>#N/A</v>
      </c>
      <c r="AE41" s="396" t="e">
        <f t="shared" si="16"/>
        <v>#N/A</v>
      </c>
      <c r="AF41" s="396" t="e">
        <f t="shared" si="13"/>
        <v>#N/A</v>
      </c>
      <c r="AG41" s="237" t="e">
        <f>IF(AE41="","",VLOOKUP(IF(OR(AND($AV$9=TRUE,$AN$9=D41),AND($AW$9=TRUE,$AO$9=D41),AND($AX$9=TRUE,$AP$9=D41,E41&lt;50),AND($AU$9=TRUE,$AM$9=D41)),AE41,AF41),入力補助!$Z$3:$AA$94,2,FALSE))</f>
        <v>#N/A</v>
      </c>
      <c r="AH41" s="238" t="str">
        <f t="shared" si="5"/>
        <v/>
      </c>
      <c r="AI41" s="237" t="str">
        <f t="shared" si="6"/>
        <v/>
      </c>
      <c r="AJ41" s="239" t="str">
        <f>IFERROR(VLOOKUP(N41,コード表!$B$6:$BJ$3006,MATCH(AD41,コード表!$B$6:$BJ$6,0)),"")</f>
        <v/>
      </c>
    </row>
    <row r="42" spans="1:36" ht="20.399999999999999" customHeight="1">
      <c r="A42" s="384"/>
      <c r="C42" s="420"/>
      <c r="D42" s="418"/>
      <c r="E42" s="442"/>
      <c r="F42" s="420"/>
      <c r="G42" s="294" t="str">
        <f t="shared" si="7"/>
        <v/>
      </c>
      <c r="H42" s="296" t="str">
        <f t="shared" si="14"/>
        <v/>
      </c>
      <c r="I42" s="422"/>
      <c r="J42" s="298" t="str">
        <f t="shared" si="15"/>
        <v/>
      </c>
      <c r="K42" s="420"/>
      <c r="L42" s="300" t="str">
        <f t="shared" si="8"/>
        <v/>
      </c>
      <c r="M42" s="424"/>
      <c r="N42" s="302" t="str">
        <f t="shared" si="0"/>
        <v/>
      </c>
      <c r="O42" s="426"/>
      <c r="P42" s="324" t="str">
        <f>IF(D42="","",IFERROR(VLOOKUP(AD42,入力補助!$U$3:$V$94,2,FALSE),""))</f>
        <v/>
      </c>
      <c r="Q42" s="295" t="str">
        <f t="shared" si="9"/>
        <v/>
      </c>
      <c r="R42" s="428"/>
      <c r="S42" s="304" t="str">
        <f t="shared" si="10"/>
        <v/>
      </c>
      <c r="T42" s="396" t="str">
        <f t="shared" si="11"/>
        <v/>
      </c>
      <c r="U42" s="339" t="str">
        <f t="shared" si="12"/>
        <v/>
      </c>
      <c r="W42" s="396">
        <f t="shared" si="1"/>
        <v>0</v>
      </c>
      <c r="X42" s="396">
        <f t="shared" si="2"/>
        <v>0</v>
      </c>
      <c r="Y42" s="396" t="e">
        <f t="shared" si="3"/>
        <v>#VALUE!</v>
      </c>
      <c r="Z42" s="396" t="e">
        <f>VLOOKUP(D42,入力補助!$C$2:$Q$44,14,FALSE)</f>
        <v>#N/A</v>
      </c>
      <c r="AA42" s="396" t="e">
        <f>VLOOKUP(D42,入力補助!$C$2:$Q$44,15,FALSE)</f>
        <v>#N/A</v>
      </c>
      <c r="AB42" s="396" t="e">
        <f>VLOOKUP(D42,入力補助!$C$2:$R$44,16,FALSE)</f>
        <v>#N/A</v>
      </c>
      <c r="AC42" s="396" t="str">
        <f t="shared" si="4"/>
        <v>0</v>
      </c>
      <c r="AD42" s="396" t="e">
        <f t="shared" si="17"/>
        <v>#N/A</v>
      </c>
      <c r="AE42" s="396" t="e">
        <f t="shared" si="16"/>
        <v>#N/A</v>
      </c>
      <c r="AF42" s="396" t="e">
        <f t="shared" si="13"/>
        <v>#N/A</v>
      </c>
      <c r="AG42" s="237" t="e">
        <f>IF(AE42="","",VLOOKUP(IF(OR(AND($AV$9=TRUE,$AN$9=D42),AND($AW$9=TRUE,$AO$9=D42),AND($AX$9=TRUE,$AP$9=D42,E42&lt;50),AND($AU$9=TRUE,$AM$9=D42)),AE42,AF42),入力補助!$Z$3:$AA$94,2,FALSE))</f>
        <v>#N/A</v>
      </c>
      <c r="AH42" s="238" t="str">
        <f t="shared" si="5"/>
        <v/>
      </c>
      <c r="AI42" s="237" t="str">
        <f t="shared" si="6"/>
        <v/>
      </c>
      <c r="AJ42" s="239" t="str">
        <f>IFERROR(VLOOKUP(N42,コード表!$B$6:$BJ$3006,MATCH(AD42,コード表!$B$6:$BJ$6,0)),"")</f>
        <v/>
      </c>
    </row>
    <row r="43" spans="1:36" ht="20.399999999999999" customHeight="1">
      <c r="A43" s="384"/>
      <c r="C43" s="420"/>
      <c r="D43" s="418"/>
      <c r="E43" s="442"/>
      <c r="F43" s="420"/>
      <c r="G43" s="294" t="str">
        <f t="shared" si="7"/>
        <v/>
      </c>
      <c r="H43" s="296" t="str">
        <f t="shared" si="14"/>
        <v/>
      </c>
      <c r="I43" s="422"/>
      <c r="J43" s="298" t="str">
        <f t="shared" si="15"/>
        <v/>
      </c>
      <c r="K43" s="420"/>
      <c r="L43" s="300" t="str">
        <f t="shared" si="8"/>
        <v/>
      </c>
      <c r="M43" s="424"/>
      <c r="N43" s="302" t="str">
        <f t="shared" si="0"/>
        <v/>
      </c>
      <c r="O43" s="426"/>
      <c r="P43" s="324" t="str">
        <f>IF(D43="","",IFERROR(VLOOKUP(AD43,入力補助!$U$3:$V$94,2,FALSE),""))</f>
        <v/>
      </c>
      <c r="Q43" s="295" t="str">
        <f t="shared" si="9"/>
        <v/>
      </c>
      <c r="R43" s="428"/>
      <c r="S43" s="304" t="str">
        <f t="shared" si="10"/>
        <v/>
      </c>
      <c r="T43" s="396" t="str">
        <f t="shared" si="11"/>
        <v/>
      </c>
      <c r="U43" s="339" t="str">
        <f t="shared" si="12"/>
        <v/>
      </c>
      <c r="W43" s="396">
        <f t="shared" si="1"/>
        <v>0</v>
      </c>
      <c r="X43" s="396">
        <f t="shared" si="2"/>
        <v>0</v>
      </c>
      <c r="Y43" s="396" t="e">
        <f t="shared" si="3"/>
        <v>#VALUE!</v>
      </c>
      <c r="Z43" s="396" t="e">
        <f>VLOOKUP(D43,入力補助!$C$2:$Q$44,14,FALSE)</f>
        <v>#N/A</v>
      </c>
      <c r="AA43" s="396" t="e">
        <f>VLOOKUP(D43,入力補助!$C$2:$Q$44,15,FALSE)</f>
        <v>#N/A</v>
      </c>
      <c r="AB43" s="396" t="e">
        <f>VLOOKUP(D43,入力補助!$C$2:$R$44,16,FALSE)</f>
        <v>#N/A</v>
      </c>
      <c r="AC43" s="396" t="str">
        <f t="shared" si="4"/>
        <v>0</v>
      </c>
      <c r="AD43" s="396" t="e">
        <f t="shared" si="17"/>
        <v>#N/A</v>
      </c>
      <c r="AE43" s="396" t="e">
        <f t="shared" si="16"/>
        <v>#N/A</v>
      </c>
      <c r="AF43" s="396" t="e">
        <f t="shared" si="13"/>
        <v>#N/A</v>
      </c>
      <c r="AG43" s="237" t="e">
        <f>IF(AE43="","",VLOOKUP(IF(OR(AND($AV$9=TRUE,$AN$9=D43),AND($AW$9=TRUE,$AO$9=D43),AND($AX$9=TRUE,$AP$9=D43,E43&lt;50),AND($AU$9=TRUE,$AM$9=D43)),AE43,AF43),入力補助!$Z$3:$AA$94,2,FALSE))</f>
        <v>#N/A</v>
      </c>
      <c r="AH43" s="238" t="str">
        <f t="shared" si="5"/>
        <v/>
      </c>
      <c r="AI43" s="237" t="str">
        <f t="shared" si="6"/>
        <v/>
      </c>
      <c r="AJ43" s="239" t="str">
        <f>IFERROR(VLOOKUP(N43,コード表!$B$6:$BJ$3006,MATCH(AD43,コード表!$B$6:$BJ$6,0)),"")</f>
        <v/>
      </c>
    </row>
    <row r="44" spans="1:36" ht="20.399999999999999" customHeight="1">
      <c r="A44" s="384"/>
      <c r="C44" s="420"/>
      <c r="D44" s="418"/>
      <c r="E44" s="442"/>
      <c r="F44" s="420"/>
      <c r="G44" s="294" t="str">
        <f t="shared" si="7"/>
        <v/>
      </c>
      <c r="H44" s="296" t="str">
        <f t="shared" si="14"/>
        <v/>
      </c>
      <c r="I44" s="422"/>
      <c r="J44" s="298" t="str">
        <f t="shared" si="15"/>
        <v/>
      </c>
      <c r="K44" s="420"/>
      <c r="L44" s="300" t="str">
        <f t="shared" si="8"/>
        <v/>
      </c>
      <c r="M44" s="424"/>
      <c r="N44" s="302" t="str">
        <f t="shared" si="0"/>
        <v/>
      </c>
      <c r="O44" s="426"/>
      <c r="P44" s="324" t="str">
        <f>IF(D44="","",IFERROR(VLOOKUP(AD44,入力補助!$U$3:$V$94,2,FALSE),""))</f>
        <v/>
      </c>
      <c r="Q44" s="295" t="str">
        <f t="shared" si="9"/>
        <v/>
      </c>
      <c r="R44" s="428"/>
      <c r="S44" s="304" t="str">
        <f t="shared" si="10"/>
        <v/>
      </c>
      <c r="T44" s="396" t="str">
        <f t="shared" si="11"/>
        <v/>
      </c>
      <c r="U44" s="339" t="str">
        <f t="shared" si="12"/>
        <v/>
      </c>
      <c r="W44" s="396">
        <f t="shared" si="1"/>
        <v>0</v>
      </c>
      <c r="X44" s="396">
        <f t="shared" si="2"/>
        <v>0</v>
      </c>
      <c r="Y44" s="396" t="e">
        <f t="shared" si="3"/>
        <v>#VALUE!</v>
      </c>
      <c r="Z44" s="396" t="e">
        <f>VLOOKUP(D44,入力補助!$C$2:$Q$44,14,FALSE)</f>
        <v>#N/A</v>
      </c>
      <c r="AA44" s="396" t="e">
        <f>VLOOKUP(D44,入力補助!$C$2:$Q$44,15,FALSE)</f>
        <v>#N/A</v>
      </c>
      <c r="AB44" s="396" t="e">
        <f>VLOOKUP(D44,入力補助!$C$2:$R$44,16,FALSE)</f>
        <v>#N/A</v>
      </c>
      <c r="AC44" s="396" t="str">
        <f t="shared" si="4"/>
        <v>0</v>
      </c>
      <c r="AD44" s="396" t="e">
        <f t="shared" si="17"/>
        <v>#N/A</v>
      </c>
      <c r="AE44" s="396" t="e">
        <f t="shared" si="16"/>
        <v>#N/A</v>
      </c>
      <c r="AF44" s="396" t="e">
        <f t="shared" si="13"/>
        <v>#N/A</v>
      </c>
      <c r="AG44" s="237" t="e">
        <f>IF(AE44="","",VLOOKUP(IF(OR(AND($AV$9=TRUE,$AN$9=D44),AND($AW$9=TRUE,$AO$9=D44),AND($AX$9=TRUE,$AP$9=D44,E44&lt;50),AND($AU$9=TRUE,$AM$9=D44)),AE44,AF44),入力補助!$Z$3:$AA$94,2,FALSE))</f>
        <v>#N/A</v>
      </c>
      <c r="AH44" s="238" t="str">
        <f t="shared" si="5"/>
        <v/>
      </c>
      <c r="AI44" s="237" t="str">
        <f t="shared" si="6"/>
        <v/>
      </c>
      <c r="AJ44" s="239" t="str">
        <f>IFERROR(VLOOKUP(N44,コード表!$B$6:$BJ$3006,MATCH(AD44,コード表!$B$6:$BJ$6,0)),"")</f>
        <v/>
      </c>
    </row>
    <row r="45" spans="1:36" ht="20.399999999999999" customHeight="1">
      <c r="A45" s="384"/>
      <c r="C45" s="420"/>
      <c r="D45" s="418"/>
      <c r="E45" s="442"/>
      <c r="F45" s="420"/>
      <c r="G45" s="294" t="str">
        <f>IF(D45="","",IF(F45="",G44,W45*6+IF(X45=0,0,IF(X45=1,1,IF(X45&lt;5,2,IF(X45&lt;11,3,IF(X45&lt;16,4,IF(X45&lt;21,5,IF(X45&lt;30,6,0)))))))))</f>
        <v/>
      </c>
      <c r="H45" s="296" t="str">
        <f t="shared" si="14"/>
        <v/>
      </c>
      <c r="I45" s="422"/>
      <c r="J45" s="298" t="str">
        <f>IF(D45="","",IF(I45="",J44,IF(I45&lt;10,ROUND(42*(I45^0.33)/60,1),IF(I45&lt;600,ROUND(19*(I45^0.67)/60,1),ROUND(2.8*(I45^0.97)/60,1)))))</f>
        <v/>
      </c>
      <c r="K45" s="420"/>
      <c r="L45" s="300" t="str">
        <f t="shared" si="8"/>
        <v/>
      </c>
      <c r="M45" s="424"/>
      <c r="N45" s="302" t="str">
        <f t="shared" si="0"/>
        <v/>
      </c>
      <c r="O45" s="426"/>
      <c r="P45" s="324" t="str">
        <f>IF(D45="","",IFERROR(VLOOKUP(AD45,入力補助!$U$3:$V$94,2,FALSE),""))</f>
        <v/>
      </c>
      <c r="Q45" s="295" t="str">
        <f t="shared" si="9"/>
        <v/>
      </c>
      <c r="R45" s="428"/>
      <c r="S45" s="304" t="str">
        <f>IF(D45="","",IF(ISNUMBER(R45)=TRUE,R45,IF(ISNUMBER(AJ45)=TRUE,ROUND(AJ45,2),IF(ISNUMBER(P45)=TRUE,ROUND(P45*Q45/1000,2),ROUND(O45*Q45/1000,2)))))</f>
        <v/>
      </c>
      <c r="T45" s="396" t="str">
        <f>IF(D45="SUS","S",IF(D45="VSP","V",IF(D45="COP","C","")))</f>
        <v/>
      </c>
      <c r="U45" s="339" t="str">
        <f t="shared" si="12"/>
        <v/>
      </c>
      <c r="W45" s="396">
        <f t="shared" si="1"/>
        <v>0</v>
      </c>
      <c r="X45" s="396">
        <f t="shared" si="2"/>
        <v>0</v>
      </c>
      <c r="Y45" s="396" t="e">
        <f t="shared" si="3"/>
        <v>#VALUE!</v>
      </c>
      <c r="Z45" s="396" t="e">
        <f>VLOOKUP(D45,入力補助!$C$2:$Q$44,14,FALSE)</f>
        <v>#N/A</v>
      </c>
      <c r="AA45" s="396" t="e">
        <f>VLOOKUP(D45,入力補助!$C$2:$Q$44,15,FALSE)</f>
        <v>#N/A</v>
      </c>
      <c r="AB45" s="396" t="e">
        <f>VLOOKUP(D45,入力補助!$C$2:$R$44,16,FALSE)</f>
        <v>#N/A</v>
      </c>
      <c r="AC45" s="396" t="str">
        <f t="shared" si="4"/>
        <v>0</v>
      </c>
      <c r="AD45" s="396" t="e">
        <f t="shared" si="17"/>
        <v>#N/A</v>
      </c>
      <c r="AE45" s="396" t="e">
        <f t="shared" si="16"/>
        <v>#N/A</v>
      </c>
      <c r="AF45" s="396" t="e">
        <f t="shared" si="13"/>
        <v>#N/A</v>
      </c>
      <c r="AG45" s="237" t="e">
        <f>IF(AE45="","",VLOOKUP(IF(OR(AND($AV$9=TRUE,$AN$9=D45),AND($AW$9=TRUE,$AO$9=D45),AND($AX$9=TRUE,$AP$9=D45,E45&lt;50),AND($AU$9=TRUE,$AM$9=D45)),AE45,AF45),入力補助!$Z$3:$AA$94,2,FALSE))</f>
        <v>#N/A</v>
      </c>
      <c r="AH45" s="238" t="str">
        <f t="shared" si="5"/>
        <v/>
      </c>
      <c r="AI45" s="237" t="str">
        <f t="shared" si="6"/>
        <v/>
      </c>
      <c r="AJ45" s="239" t="str">
        <f>IFERROR(VLOOKUP(N45,コード表!$B$6:$BJ$3006,MATCH(AD45,コード表!$B$6:$BJ$6,0)),"")</f>
        <v/>
      </c>
    </row>
    <row r="46" spans="1:36" ht="20.399999999999999" customHeight="1">
      <c r="A46" s="384"/>
      <c r="C46" s="420"/>
      <c r="D46" s="418"/>
      <c r="E46" s="442"/>
      <c r="F46" s="420"/>
      <c r="G46" s="294" t="str">
        <f>IF(D46="","",IF(F46="",G45,W46*6+IF(X46=0,0,IF(X46=1,1,IF(X46&lt;5,2,IF(X46&lt;11,3,IF(X46&lt;16,4,IF(X46&lt;21,5,IF(X46&lt;30,6,0)))))))))</f>
        <v/>
      </c>
      <c r="H46" s="296" t="str">
        <f t="shared" si="14"/>
        <v/>
      </c>
      <c r="I46" s="422"/>
      <c r="J46" s="298" t="str">
        <f>IF(D46="","",IF(I46="",J45,IF(I46&lt;10,ROUND(42*(I46^0.33)/60,1),IF(I46&lt;600,ROUND(19*(I46^0.67)/60,1),ROUND(2.8*(I46^0.97)/60,1)))))</f>
        <v/>
      </c>
      <c r="K46" s="420"/>
      <c r="L46" s="300" t="str">
        <f t="shared" si="8"/>
        <v/>
      </c>
      <c r="M46" s="424"/>
      <c r="N46" s="302" t="str">
        <f t="shared" si="0"/>
        <v/>
      </c>
      <c r="O46" s="426"/>
      <c r="P46" s="324" t="str">
        <f>IF(D46="","",IFERROR(VLOOKUP(AD46,入力補助!$U$3:$V$94,2,FALSE),""))</f>
        <v/>
      </c>
      <c r="Q46" s="295" t="str">
        <f t="shared" si="9"/>
        <v/>
      </c>
      <c r="R46" s="428"/>
      <c r="S46" s="304" t="str">
        <f>IF(D46="","",IF(ISNUMBER(R46)=TRUE,R46,IF(ISNUMBER(AJ46)=TRUE,ROUND(AJ46,2),IF(ISNUMBER(P46)=TRUE,ROUND(P46*Q46/1000,2),ROUND(O46*Q46/1000,2)))))</f>
        <v/>
      </c>
      <c r="T46" s="396" t="str">
        <f>IF(D46="SUS","S",IF(D46="VSP","V",IF(D46="COP","C","")))</f>
        <v/>
      </c>
      <c r="U46" s="339" t="str">
        <f t="shared" si="12"/>
        <v/>
      </c>
      <c r="W46" s="396">
        <f t="shared" si="1"/>
        <v>0</v>
      </c>
      <c r="X46" s="396">
        <f t="shared" si="2"/>
        <v>0</v>
      </c>
      <c r="Y46" s="396" t="e">
        <f t="shared" si="3"/>
        <v>#VALUE!</v>
      </c>
      <c r="Z46" s="396" t="e">
        <f>VLOOKUP(D46,入力補助!$C$2:$Q$44,14,FALSE)</f>
        <v>#N/A</v>
      </c>
      <c r="AA46" s="396" t="e">
        <f>VLOOKUP(D46,入力補助!$C$2:$Q$44,15,FALSE)</f>
        <v>#N/A</v>
      </c>
      <c r="AB46" s="396" t="e">
        <f>VLOOKUP(D46,入力補助!$C$2:$R$44,16,FALSE)</f>
        <v>#N/A</v>
      </c>
      <c r="AC46" s="396" t="str">
        <f t="shared" si="4"/>
        <v>0</v>
      </c>
      <c r="AD46" s="396" t="e">
        <f t="shared" si="17"/>
        <v>#N/A</v>
      </c>
      <c r="AE46" s="396" t="e">
        <f t="shared" si="16"/>
        <v>#N/A</v>
      </c>
      <c r="AF46" s="396" t="e">
        <f t="shared" si="13"/>
        <v>#N/A</v>
      </c>
      <c r="AG46" s="237" t="e">
        <f>IF(AE46="","",VLOOKUP(IF(OR(AND($AV$9=TRUE,$AN$9=D46),AND($AW$9=TRUE,$AO$9=D46),AND($AX$9=TRUE,$AP$9=D46,E46&lt;50),AND($AU$9=TRUE,$AM$9=D46)),AE46,AF46),入力補助!$Z$3:$AA$94,2,FALSE))</f>
        <v>#N/A</v>
      </c>
      <c r="AH46" s="238" t="str">
        <f t="shared" si="5"/>
        <v/>
      </c>
      <c r="AI46" s="237" t="str">
        <f t="shared" si="6"/>
        <v/>
      </c>
      <c r="AJ46" s="239" t="str">
        <f>IFERROR(VLOOKUP(N46,コード表!$B$6:$BJ$3006,MATCH(AD46,コード表!$B$6:$BJ$6,0)),"")</f>
        <v/>
      </c>
    </row>
    <row r="47" spans="1:36" ht="20.399999999999999" customHeight="1">
      <c r="A47" s="384"/>
      <c r="C47" s="420"/>
      <c r="D47" s="433"/>
      <c r="E47" s="442"/>
      <c r="F47" s="420"/>
      <c r="G47" s="294" t="str">
        <f t="shared" si="7"/>
        <v/>
      </c>
      <c r="H47" s="296" t="str">
        <f t="shared" si="14"/>
        <v/>
      </c>
      <c r="I47" s="422"/>
      <c r="J47" s="298" t="str">
        <f t="shared" si="15"/>
        <v/>
      </c>
      <c r="K47" s="420"/>
      <c r="L47" s="300" t="str">
        <f t="shared" si="8"/>
        <v/>
      </c>
      <c r="M47" s="424"/>
      <c r="N47" s="302" t="str">
        <f t="shared" si="0"/>
        <v/>
      </c>
      <c r="O47" s="426"/>
      <c r="P47" s="324" t="str">
        <f>IF(D47="","",IFERROR(VLOOKUP(AD47,入力補助!$U$3:$V$94,2,FALSE),""))</f>
        <v/>
      </c>
      <c r="Q47" s="295" t="str">
        <f t="shared" si="9"/>
        <v/>
      </c>
      <c r="R47" s="428"/>
      <c r="S47" s="304" t="str">
        <f t="shared" si="10"/>
        <v/>
      </c>
      <c r="T47" s="396" t="str">
        <f t="shared" si="11"/>
        <v/>
      </c>
      <c r="U47" s="339" t="str">
        <f t="shared" si="12"/>
        <v/>
      </c>
      <c r="W47" s="396">
        <f t="shared" si="1"/>
        <v>0</v>
      </c>
      <c r="X47" s="396">
        <f t="shared" si="2"/>
        <v>0</v>
      </c>
      <c r="Y47" s="396" t="e">
        <f t="shared" si="3"/>
        <v>#VALUE!</v>
      </c>
      <c r="Z47" s="396" t="e">
        <f>VLOOKUP(D47,入力補助!$C$2:$Q$44,14,FALSE)</f>
        <v>#N/A</v>
      </c>
      <c r="AA47" s="396" t="e">
        <f>VLOOKUP(D47,入力補助!$C$2:$Q$44,15,FALSE)</f>
        <v>#N/A</v>
      </c>
      <c r="AB47" s="396" t="e">
        <f>VLOOKUP(D47,入力補助!$C$2:$R$44,16,FALSE)</f>
        <v>#N/A</v>
      </c>
      <c r="AC47" s="396" t="str">
        <f t="shared" si="4"/>
        <v>0</v>
      </c>
      <c r="AD47" s="396" t="e">
        <f t="shared" si="17"/>
        <v>#N/A</v>
      </c>
      <c r="AE47" s="396" t="e">
        <f t="shared" si="16"/>
        <v>#N/A</v>
      </c>
      <c r="AF47" s="396" t="e">
        <f t="shared" si="13"/>
        <v>#N/A</v>
      </c>
      <c r="AG47" s="237" t="e">
        <f>IF(AE47="","",VLOOKUP(IF(OR(AND($AV$9=TRUE,$AN$9=D47),AND($AW$9=TRUE,$AO$9=D47),AND($AX$9=TRUE,$AP$9=D47,E47&lt;50),AND($AU$9=TRUE,$AM$9=D47)),AE47,AF47),入力補助!$Z$3:$AA$94,2,FALSE))</f>
        <v>#N/A</v>
      </c>
      <c r="AH47" s="238" t="str">
        <f t="shared" si="5"/>
        <v/>
      </c>
      <c r="AI47" s="237" t="str">
        <f t="shared" si="6"/>
        <v/>
      </c>
      <c r="AJ47" s="239" t="str">
        <f>IFERROR(VLOOKUP(N47,コード表!$B$6:$BJ$3006,MATCH(AD47,コード表!$B$6:$BJ$6,0)),"")</f>
        <v/>
      </c>
    </row>
    <row r="48" spans="1:36" ht="20.399999999999999" customHeight="1">
      <c r="A48" s="384"/>
      <c r="C48" s="420"/>
      <c r="D48" s="418"/>
      <c r="E48" s="442"/>
      <c r="F48" s="420"/>
      <c r="G48" s="294" t="str">
        <f t="shared" si="7"/>
        <v/>
      </c>
      <c r="H48" s="296" t="str">
        <f t="shared" si="14"/>
        <v/>
      </c>
      <c r="I48" s="422"/>
      <c r="J48" s="298" t="str">
        <f t="shared" si="15"/>
        <v/>
      </c>
      <c r="K48" s="420"/>
      <c r="L48" s="300" t="str">
        <f t="shared" si="8"/>
        <v/>
      </c>
      <c r="M48" s="424"/>
      <c r="N48" s="302" t="str">
        <f t="shared" si="0"/>
        <v/>
      </c>
      <c r="O48" s="426"/>
      <c r="P48" s="324" t="str">
        <f>IF(D48="","",IFERROR(VLOOKUP(AD48,入力補助!$U$3:$V$94,2,FALSE),""))</f>
        <v/>
      </c>
      <c r="Q48" s="295" t="str">
        <f t="shared" si="9"/>
        <v/>
      </c>
      <c r="R48" s="428"/>
      <c r="S48" s="304" t="str">
        <f t="shared" si="10"/>
        <v/>
      </c>
      <c r="T48" s="396" t="str">
        <f t="shared" si="11"/>
        <v/>
      </c>
      <c r="U48" s="339" t="str">
        <f t="shared" si="12"/>
        <v/>
      </c>
      <c r="W48" s="396">
        <f t="shared" si="1"/>
        <v>0</v>
      </c>
      <c r="X48" s="396">
        <f t="shared" si="2"/>
        <v>0</v>
      </c>
      <c r="Y48" s="396" t="e">
        <f t="shared" si="3"/>
        <v>#VALUE!</v>
      </c>
      <c r="Z48" s="396" t="e">
        <f>VLOOKUP(D48,入力補助!$C$2:$Q$44,14,FALSE)</f>
        <v>#N/A</v>
      </c>
      <c r="AA48" s="396" t="e">
        <f>VLOOKUP(D48,入力補助!$C$2:$Q$44,15,FALSE)</f>
        <v>#N/A</v>
      </c>
      <c r="AB48" s="396" t="e">
        <f>VLOOKUP(D48,入力補助!$C$2:$R$44,16,FALSE)</f>
        <v>#N/A</v>
      </c>
      <c r="AC48" s="396" t="str">
        <f t="shared" si="4"/>
        <v>0</v>
      </c>
      <c r="AD48" s="396" t="e">
        <f t="shared" si="17"/>
        <v>#N/A</v>
      </c>
      <c r="AE48" s="396" t="e">
        <f t="shared" si="16"/>
        <v>#N/A</v>
      </c>
      <c r="AF48" s="396" t="e">
        <f t="shared" si="13"/>
        <v>#N/A</v>
      </c>
      <c r="AG48" s="237" t="e">
        <f>IF(AE48="","",VLOOKUP(IF(OR(AND($AV$9=TRUE,$AN$9=D48),AND($AW$9=TRUE,$AO$9=D48),AND($AX$9=TRUE,$AP$9=D48,E48&lt;50),AND($AU$9=TRUE,$AM$9=D48)),AE48,AF48),入力補助!$Z$3:$AA$94,2,FALSE))</f>
        <v>#N/A</v>
      </c>
      <c r="AH48" s="238" t="str">
        <f t="shared" si="5"/>
        <v/>
      </c>
      <c r="AI48" s="237" t="str">
        <f t="shared" si="6"/>
        <v/>
      </c>
      <c r="AJ48" s="239" t="str">
        <f>IFERROR(VLOOKUP(N48,コード表!$B$6:$BJ$3006,MATCH(AD48,コード表!$B$6:$BJ$6,0)),"")</f>
        <v/>
      </c>
    </row>
    <row r="49" spans="1:36" ht="20.399999999999999" customHeight="1">
      <c r="A49" s="384"/>
      <c r="C49" s="420"/>
      <c r="D49" s="418"/>
      <c r="E49" s="442"/>
      <c r="F49" s="420"/>
      <c r="G49" s="294" t="str">
        <f t="shared" si="7"/>
        <v/>
      </c>
      <c r="H49" s="296" t="str">
        <f t="shared" si="14"/>
        <v/>
      </c>
      <c r="I49" s="422"/>
      <c r="J49" s="298" t="str">
        <f t="shared" si="15"/>
        <v/>
      </c>
      <c r="K49" s="420"/>
      <c r="L49" s="300" t="str">
        <f t="shared" si="8"/>
        <v/>
      </c>
      <c r="M49" s="424"/>
      <c r="N49" s="302" t="str">
        <f t="shared" si="0"/>
        <v/>
      </c>
      <c r="O49" s="426"/>
      <c r="P49" s="324" t="str">
        <f>IF(D49="","",IFERROR(VLOOKUP(AD49,入力補助!$U$3:$V$94,2,FALSE),""))</f>
        <v/>
      </c>
      <c r="Q49" s="295" t="str">
        <f t="shared" si="9"/>
        <v/>
      </c>
      <c r="R49" s="428"/>
      <c r="S49" s="304" t="str">
        <f t="shared" si="10"/>
        <v/>
      </c>
      <c r="T49" s="396" t="str">
        <f t="shared" si="11"/>
        <v/>
      </c>
      <c r="U49" s="339" t="str">
        <f t="shared" si="12"/>
        <v/>
      </c>
      <c r="W49" s="396">
        <f t="shared" si="1"/>
        <v>0</v>
      </c>
      <c r="X49" s="396">
        <f t="shared" si="2"/>
        <v>0</v>
      </c>
      <c r="Y49" s="396" t="e">
        <f t="shared" si="3"/>
        <v>#VALUE!</v>
      </c>
      <c r="Z49" s="396" t="e">
        <f>VLOOKUP(D49,入力補助!$C$2:$Q$44,14,FALSE)</f>
        <v>#N/A</v>
      </c>
      <c r="AA49" s="396" t="e">
        <f>VLOOKUP(D49,入力補助!$C$2:$Q$44,15,FALSE)</f>
        <v>#N/A</v>
      </c>
      <c r="AB49" s="396" t="e">
        <f>VLOOKUP(D49,入力補助!$C$2:$R$44,16,FALSE)</f>
        <v>#N/A</v>
      </c>
      <c r="AC49" s="396" t="str">
        <f t="shared" si="4"/>
        <v>0</v>
      </c>
      <c r="AD49" s="396" t="e">
        <f t="shared" si="17"/>
        <v>#N/A</v>
      </c>
      <c r="AE49" s="396" t="e">
        <f t="shared" si="16"/>
        <v>#N/A</v>
      </c>
      <c r="AF49" s="396" t="e">
        <f t="shared" si="13"/>
        <v>#N/A</v>
      </c>
      <c r="AG49" s="237" t="e">
        <f>IF(AE49="","",VLOOKUP(IF(OR(AND($AV$9=TRUE,$AN$9=D49),AND($AW$9=TRUE,$AO$9=D49),AND($AX$9=TRUE,$AP$9=D49,E49&lt;50),AND($AU$9=TRUE,$AM$9=D49)),AE49,AF49),入力補助!$Z$3:$AA$94,2,FALSE))</f>
        <v>#N/A</v>
      </c>
      <c r="AH49" s="238" t="str">
        <f t="shared" si="5"/>
        <v/>
      </c>
      <c r="AI49" s="237" t="str">
        <f t="shared" si="6"/>
        <v/>
      </c>
      <c r="AJ49" s="239" t="str">
        <f>IFERROR(VLOOKUP(N49,コード表!$B$6:$BJ$3006,MATCH(AD49,コード表!$B$6:$BJ$6,0)),"")</f>
        <v/>
      </c>
    </row>
    <row r="50" spans="1:36" ht="20.399999999999999" customHeight="1">
      <c r="A50" s="384"/>
      <c r="C50" s="420"/>
      <c r="D50" s="418"/>
      <c r="E50" s="442"/>
      <c r="F50" s="420"/>
      <c r="G50" s="294" t="str">
        <f t="shared" si="7"/>
        <v/>
      </c>
      <c r="H50" s="296" t="str">
        <f t="shared" si="14"/>
        <v/>
      </c>
      <c r="I50" s="422"/>
      <c r="J50" s="298" t="str">
        <f t="shared" si="15"/>
        <v/>
      </c>
      <c r="K50" s="420"/>
      <c r="L50" s="300" t="str">
        <f t="shared" si="8"/>
        <v/>
      </c>
      <c r="M50" s="424"/>
      <c r="N50" s="302" t="str">
        <f t="shared" si="0"/>
        <v/>
      </c>
      <c r="O50" s="426"/>
      <c r="P50" s="324" t="str">
        <f>IF(D50="","",IFERROR(VLOOKUP(AD50,入力補助!$U$3:$V$94,2,FALSE),""))</f>
        <v/>
      </c>
      <c r="Q50" s="295" t="str">
        <f t="shared" si="9"/>
        <v/>
      </c>
      <c r="R50" s="428"/>
      <c r="S50" s="304" t="str">
        <f t="shared" si="10"/>
        <v/>
      </c>
      <c r="T50" s="396" t="str">
        <f t="shared" si="11"/>
        <v/>
      </c>
      <c r="U50" s="339" t="str">
        <f t="shared" si="12"/>
        <v/>
      </c>
      <c r="W50" s="396">
        <f t="shared" si="1"/>
        <v>0</v>
      </c>
      <c r="X50" s="396">
        <f t="shared" si="2"/>
        <v>0</v>
      </c>
      <c r="Y50" s="396" t="e">
        <f t="shared" si="3"/>
        <v>#VALUE!</v>
      </c>
      <c r="Z50" s="396" t="e">
        <f>VLOOKUP(D50,入力補助!$C$2:$Q$44,14,FALSE)</f>
        <v>#N/A</v>
      </c>
      <c r="AA50" s="396" t="e">
        <f>VLOOKUP(D50,入力補助!$C$2:$Q$44,15,FALSE)</f>
        <v>#N/A</v>
      </c>
      <c r="AB50" s="396" t="e">
        <f>VLOOKUP(D50,入力補助!$C$2:$R$44,16,FALSE)</f>
        <v>#N/A</v>
      </c>
      <c r="AC50" s="396" t="str">
        <f t="shared" si="4"/>
        <v>0</v>
      </c>
      <c r="AD50" s="396" t="e">
        <f t="shared" si="17"/>
        <v>#N/A</v>
      </c>
      <c r="AE50" s="396" t="e">
        <f t="shared" si="16"/>
        <v>#N/A</v>
      </c>
      <c r="AF50" s="396" t="e">
        <f t="shared" si="13"/>
        <v>#N/A</v>
      </c>
      <c r="AG50" s="237" t="e">
        <f>IF(AE50="","",VLOOKUP(IF(OR(AND($AV$9=TRUE,$AN$9=D50),AND($AW$9=TRUE,$AO$9=D50),AND($AX$9=TRUE,$AP$9=D50,E50&lt;50),AND($AU$9=TRUE,$AM$9=D50)),AE50,AF50),入力補助!$Z$3:$AA$94,2,FALSE))</f>
        <v>#N/A</v>
      </c>
      <c r="AH50" s="238" t="str">
        <f t="shared" si="5"/>
        <v/>
      </c>
      <c r="AI50" s="237" t="str">
        <f t="shared" si="6"/>
        <v/>
      </c>
      <c r="AJ50" s="239" t="str">
        <f>IFERROR(VLOOKUP(N50,コード表!$B$6:$BJ$3006,MATCH(AD50,コード表!$B$6:$BJ$6,0)),"")</f>
        <v/>
      </c>
    </row>
    <row r="51" spans="1:36" ht="20.399999999999999" customHeight="1">
      <c r="A51" s="384"/>
      <c r="C51" s="420"/>
      <c r="D51" s="418"/>
      <c r="E51" s="442"/>
      <c r="F51" s="420"/>
      <c r="G51" s="294" t="str">
        <f t="shared" si="7"/>
        <v/>
      </c>
      <c r="H51" s="296" t="str">
        <f t="shared" si="14"/>
        <v/>
      </c>
      <c r="I51" s="422"/>
      <c r="J51" s="298" t="str">
        <f t="shared" si="15"/>
        <v/>
      </c>
      <c r="K51" s="420"/>
      <c r="L51" s="300" t="str">
        <f t="shared" si="8"/>
        <v/>
      </c>
      <c r="M51" s="424"/>
      <c r="N51" s="302" t="str">
        <f t="shared" si="0"/>
        <v/>
      </c>
      <c r="O51" s="426"/>
      <c r="P51" s="324" t="str">
        <f>IF(D51="","",IFERROR(VLOOKUP(AD51,入力補助!$U$3:$V$94,2,FALSE),""))</f>
        <v/>
      </c>
      <c r="Q51" s="295" t="str">
        <f t="shared" si="9"/>
        <v/>
      </c>
      <c r="R51" s="428"/>
      <c r="S51" s="304" t="str">
        <f t="shared" si="10"/>
        <v/>
      </c>
      <c r="T51" s="396" t="str">
        <f t="shared" si="11"/>
        <v/>
      </c>
      <c r="U51" s="339" t="str">
        <f t="shared" si="12"/>
        <v/>
      </c>
      <c r="W51" s="396">
        <f t="shared" si="1"/>
        <v>0</v>
      </c>
      <c r="X51" s="396">
        <f t="shared" si="2"/>
        <v>0</v>
      </c>
      <c r="Y51" s="396" t="e">
        <f t="shared" si="3"/>
        <v>#VALUE!</v>
      </c>
      <c r="Z51" s="396" t="e">
        <f>VLOOKUP(D51,入力補助!$C$2:$Q$44,14,FALSE)</f>
        <v>#N/A</v>
      </c>
      <c r="AA51" s="396" t="e">
        <f>VLOOKUP(D51,入力補助!$C$2:$Q$44,15,FALSE)</f>
        <v>#N/A</v>
      </c>
      <c r="AB51" s="396" t="e">
        <f>VLOOKUP(D51,入力補助!$C$2:$R$44,16,FALSE)</f>
        <v>#N/A</v>
      </c>
      <c r="AC51" s="396" t="str">
        <f t="shared" si="4"/>
        <v>0</v>
      </c>
      <c r="AD51" s="396" t="e">
        <f t="shared" si="17"/>
        <v>#N/A</v>
      </c>
      <c r="AE51" s="396" t="e">
        <f t="shared" si="16"/>
        <v>#N/A</v>
      </c>
      <c r="AF51" s="396" t="e">
        <f t="shared" si="13"/>
        <v>#N/A</v>
      </c>
      <c r="AG51" s="237" t="e">
        <f>IF(AE51="","",VLOOKUP(IF(OR(AND($AV$9=TRUE,$AN$9=D51),AND($AW$9=TRUE,$AO$9=D51),AND($AX$9=TRUE,$AP$9=D51,E51&lt;50),AND($AU$9=TRUE,$AM$9=D51)),AE51,AF51),入力補助!$Z$3:$AA$94,2,FALSE))</f>
        <v>#N/A</v>
      </c>
      <c r="AH51" s="238" t="str">
        <f t="shared" si="5"/>
        <v/>
      </c>
      <c r="AI51" s="237" t="str">
        <f t="shared" si="6"/>
        <v/>
      </c>
      <c r="AJ51" s="239" t="str">
        <f>IFERROR(VLOOKUP(N51,コード表!$B$6:$BJ$3006,MATCH(AD51,コード表!$B$6:$BJ$6,0)),"")</f>
        <v/>
      </c>
    </row>
    <row r="52" spans="1:36" ht="20.399999999999999" customHeight="1">
      <c r="A52" s="384"/>
      <c r="C52" s="420"/>
      <c r="D52" s="418"/>
      <c r="E52" s="442"/>
      <c r="F52" s="420"/>
      <c r="G52" s="294" t="str">
        <f t="shared" si="7"/>
        <v/>
      </c>
      <c r="H52" s="296" t="str">
        <f t="shared" si="14"/>
        <v/>
      </c>
      <c r="I52" s="422"/>
      <c r="J52" s="298" t="str">
        <f t="shared" si="15"/>
        <v/>
      </c>
      <c r="K52" s="420"/>
      <c r="L52" s="300" t="str">
        <f t="shared" si="8"/>
        <v/>
      </c>
      <c r="M52" s="424"/>
      <c r="N52" s="302" t="str">
        <f t="shared" si="0"/>
        <v/>
      </c>
      <c r="O52" s="426"/>
      <c r="P52" s="324" t="str">
        <f>IF(D52="","",IFERROR(VLOOKUP(AD52,入力補助!$U$3:$V$94,2,FALSE),""))</f>
        <v/>
      </c>
      <c r="Q52" s="295" t="str">
        <f t="shared" si="9"/>
        <v/>
      </c>
      <c r="R52" s="428"/>
      <c r="S52" s="304" t="str">
        <f t="shared" si="10"/>
        <v/>
      </c>
      <c r="T52" s="396" t="str">
        <f t="shared" si="11"/>
        <v/>
      </c>
      <c r="U52" s="339" t="str">
        <f t="shared" si="12"/>
        <v/>
      </c>
      <c r="W52" s="396">
        <f t="shared" si="1"/>
        <v>0</v>
      </c>
      <c r="X52" s="396">
        <f t="shared" si="2"/>
        <v>0</v>
      </c>
      <c r="Y52" s="396" t="e">
        <f t="shared" si="3"/>
        <v>#VALUE!</v>
      </c>
      <c r="Z52" s="396" t="e">
        <f>VLOOKUP(D52,入力補助!$C$2:$Q$44,14,FALSE)</f>
        <v>#N/A</v>
      </c>
      <c r="AA52" s="396" t="e">
        <f>VLOOKUP(D52,入力補助!$C$2:$Q$44,15,FALSE)</f>
        <v>#N/A</v>
      </c>
      <c r="AB52" s="396" t="e">
        <f>VLOOKUP(D52,入力補助!$C$2:$R$44,16,FALSE)</f>
        <v>#N/A</v>
      </c>
      <c r="AC52" s="396" t="str">
        <f t="shared" si="4"/>
        <v>0</v>
      </c>
      <c r="AD52" s="396" t="e">
        <f t="shared" si="17"/>
        <v>#N/A</v>
      </c>
      <c r="AE52" s="396" t="e">
        <f t="shared" si="16"/>
        <v>#N/A</v>
      </c>
      <c r="AF52" s="396" t="e">
        <f t="shared" si="13"/>
        <v>#N/A</v>
      </c>
      <c r="AG52" s="237" t="e">
        <f>IF(AE52="","",VLOOKUP(IF(OR(AND($AV$9=TRUE,$AN$9=D52),AND($AW$9=TRUE,$AO$9=D52),AND($AX$9=TRUE,$AP$9=D52,E52&lt;50),AND($AU$9=TRUE,$AM$9=D52)),AE52,AF52),入力補助!$Z$3:$AA$94,2,FALSE))</f>
        <v>#N/A</v>
      </c>
      <c r="AH52" s="238" t="str">
        <f t="shared" si="5"/>
        <v/>
      </c>
      <c r="AI52" s="237" t="str">
        <f t="shared" si="6"/>
        <v/>
      </c>
      <c r="AJ52" s="239" t="str">
        <f>IFERROR(VLOOKUP(N52,コード表!$B$6:$BJ$3006,MATCH(AD52,コード表!$B$6:$BJ$6,0)),"")</f>
        <v/>
      </c>
    </row>
    <row r="53" spans="1:36" ht="20.399999999999999" customHeight="1">
      <c r="A53" s="384"/>
      <c r="C53" s="420"/>
      <c r="D53" s="418"/>
      <c r="E53" s="442"/>
      <c r="F53" s="420"/>
      <c r="G53" s="294" t="str">
        <f t="shared" si="7"/>
        <v/>
      </c>
      <c r="H53" s="296" t="str">
        <f t="shared" si="14"/>
        <v/>
      </c>
      <c r="I53" s="422"/>
      <c r="J53" s="298" t="str">
        <f t="shared" si="15"/>
        <v/>
      </c>
      <c r="K53" s="420"/>
      <c r="L53" s="300" t="str">
        <f t="shared" si="8"/>
        <v/>
      </c>
      <c r="M53" s="424"/>
      <c r="N53" s="302" t="str">
        <f t="shared" si="0"/>
        <v/>
      </c>
      <c r="O53" s="426"/>
      <c r="P53" s="324" t="str">
        <f>IF(D53="","",IFERROR(VLOOKUP(AD53,入力補助!$U$3:$V$94,2,FALSE),""))</f>
        <v/>
      </c>
      <c r="Q53" s="295" t="str">
        <f t="shared" si="9"/>
        <v/>
      </c>
      <c r="R53" s="428"/>
      <c r="S53" s="304" t="str">
        <f t="shared" si="10"/>
        <v/>
      </c>
      <c r="T53" s="396" t="str">
        <f t="shared" si="11"/>
        <v/>
      </c>
      <c r="U53" s="339" t="str">
        <f t="shared" si="12"/>
        <v/>
      </c>
      <c r="W53" s="396">
        <f t="shared" si="1"/>
        <v>0</v>
      </c>
      <c r="X53" s="396">
        <f t="shared" si="2"/>
        <v>0</v>
      </c>
      <c r="Y53" s="396" t="e">
        <f t="shared" si="3"/>
        <v>#VALUE!</v>
      </c>
      <c r="Z53" s="396" t="e">
        <f>VLOOKUP(D53,入力補助!$C$2:$Q$44,14,FALSE)</f>
        <v>#N/A</v>
      </c>
      <c r="AA53" s="396" t="e">
        <f>VLOOKUP(D53,入力補助!$C$2:$Q$44,15,FALSE)</f>
        <v>#N/A</v>
      </c>
      <c r="AB53" s="396" t="e">
        <f>VLOOKUP(D53,入力補助!$C$2:$R$44,16,FALSE)</f>
        <v>#N/A</v>
      </c>
      <c r="AC53" s="396" t="str">
        <f t="shared" si="4"/>
        <v>0</v>
      </c>
      <c r="AD53" s="396" t="e">
        <f t="shared" si="17"/>
        <v>#N/A</v>
      </c>
      <c r="AE53" s="396" t="e">
        <f t="shared" si="16"/>
        <v>#N/A</v>
      </c>
      <c r="AF53" s="396" t="e">
        <f t="shared" si="13"/>
        <v>#N/A</v>
      </c>
      <c r="AG53" s="237" t="e">
        <f>IF(AE53="","",VLOOKUP(IF(OR(AND($AV$9=TRUE,$AN$9=D53),AND($AW$9=TRUE,$AO$9=D53),AND($AX$9=TRUE,$AP$9=D53,E53&lt;50),AND($AU$9=TRUE,$AM$9=D53)),AE53,AF53),入力補助!$Z$3:$AA$94,2,FALSE))</f>
        <v>#N/A</v>
      </c>
      <c r="AH53" s="238" t="str">
        <f t="shared" si="5"/>
        <v/>
      </c>
      <c r="AI53" s="237" t="str">
        <f t="shared" si="6"/>
        <v/>
      </c>
      <c r="AJ53" s="239" t="str">
        <f>IFERROR(VLOOKUP(N53,コード表!$B$6:$BJ$3006,MATCH(AD53,コード表!$B$6:$BJ$6,0)),"")</f>
        <v/>
      </c>
    </row>
    <row r="54" spans="1:36" ht="20.399999999999999" customHeight="1">
      <c r="A54" s="384"/>
      <c r="C54" s="420"/>
      <c r="D54" s="418"/>
      <c r="E54" s="442"/>
      <c r="F54" s="420"/>
      <c r="G54" s="294" t="str">
        <f t="shared" si="7"/>
        <v/>
      </c>
      <c r="H54" s="296" t="str">
        <f t="shared" si="14"/>
        <v/>
      </c>
      <c r="I54" s="422"/>
      <c r="J54" s="298" t="str">
        <f t="shared" si="15"/>
        <v/>
      </c>
      <c r="K54" s="420"/>
      <c r="L54" s="300" t="str">
        <f t="shared" si="8"/>
        <v/>
      </c>
      <c r="M54" s="424"/>
      <c r="N54" s="302" t="str">
        <f t="shared" si="0"/>
        <v/>
      </c>
      <c r="O54" s="426"/>
      <c r="P54" s="324" t="str">
        <f>IF(D54="","",IFERROR(VLOOKUP(AD54,入力補助!$U$3:$V$94,2,FALSE),""))</f>
        <v/>
      </c>
      <c r="Q54" s="295" t="str">
        <f t="shared" si="9"/>
        <v/>
      </c>
      <c r="R54" s="428"/>
      <c r="S54" s="304" t="str">
        <f t="shared" si="10"/>
        <v/>
      </c>
      <c r="T54" s="396" t="str">
        <f t="shared" si="11"/>
        <v/>
      </c>
      <c r="U54" s="339" t="str">
        <f t="shared" si="12"/>
        <v/>
      </c>
      <c r="W54" s="396">
        <f t="shared" si="1"/>
        <v>0</v>
      </c>
      <c r="X54" s="396">
        <f t="shared" si="2"/>
        <v>0</v>
      </c>
      <c r="Y54" s="396" t="e">
        <f t="shared" si="3"/>
        <v>#VALUE!</v>
      </c>
      <c r="Z54" s="396" t="e">
        <f>VLOOKUP(D54,入力補助!$C$2:$Q$44,14,FALSE)</f>
        <v>#N/A</v>
      </c>
      <c r="AA54" s="396" t="e">
        <f>VLOOKUP(D54,入力補助!$C$2:$Q$44,15,FALSE)</f>
        <v>#N/A</v>
      </c>
      <c r="AB54" s="396" t="e">
        <f>VLOOKUP(D54,入力補助!$C$2:$R$44,16,FALSE)</f>
        <v>#N/A</v>
      </c>
      <c r="AC54" s="396" t="str">
        <f t="shared" si="4"/>
        <v>0</v>
      </c>
      <c r="AD54" s="396" t="e">
        <f t="shared" si="17"/>
        <v>#N/A</v>
      </c>
      <c r="AE54" s="396" t="e">
        <f t="shared" si="16"/>
        <v>#N/A</v>
      </c>
      <c r="AF54" s="396" t="e">
        <f t="shared" si="13"/>
        <v>#N/A</v>
      </c>
      <c r="AG54" s="237" t="e">
        <f>IF(AE54="","",VLOOKUP(IF(OR(AND($AV$9=TRUE,$AN$9=D54),AND($AW$9=TRUE,$AO$9=D54),AND($AX$9=TRUE,$AP$9=D54,E54&lt;50),AND($AU$9=TRUE,$AM$9=D54)),AE54,AF54),入力補助!$Z$3:$AA$94,2,FALSE))</f>
        <v>#N/A</v>
      </c>
      <c r="AH54" s="238" t="str">
        <f t="shared" si="5"/>
        <v/>
      </c>
      <c r="AI54" s="237" t="str">
        <f t="shared" si="6"/>
        <v/>
      </c>
      <c r="AJ54" s="239" t="str">
        <f>IFERROR(VLOOKUP(N54,コード表!$B$6:$BJ$3006,MATCH(AD54,コード表!$B$6:$BJ$6,0)),"")</f>
        <v/>
      </c>
    </row>
    <row r="55" spans="1:36" ht="20.399999999999999" customHeight="1">
      <c r="A55" s="384"/>
      <c r="C55" s="420"/>
      <c r="D55" s="418"/>
      <c r="E55" s="442"/>
      <c r="F55" s="420"/>
      <c r="G55" s="294" t="str">
        <f t="shared" si="7"/>
        <v/>
      </c>
      <c r="H55" s="296" t="str">
        <f t="shared" si="14"/>
        <v/>
      </c>
      <c r="I55" s="422"/>
      <c r="J55" s="298" t="str">
        <f t="shared" si="15"/>
        <v/>
      </c>
      <c r="K55" s="420"/>
      <c r="L55" s="300" t="str">
        <f t="shared" si="8"/>
        <v/>
      </c>
      <c r="M55" s="424"/>
      <c r="N55" s="302" t="str">
        <f t="shared" si="0"/>
        <v/>
      </c>
      <c r="O55" s="426"/>
      <c r="P55" s="324" t="str">
        <f>IF(D55="","",IFERROR(VLOOKUP(AD55,入力補助!$U$3:$V$94,2,FALSE),""))</f>
        <v/>
      </c>
      <c r="Q55" s="295" t="str">
        <f t="shared" si="9"/>
        <v/>
      </c>
      <c r="R55" s="428"/>
      <c r="S55" s="304" t="str">
        <f t="shared" si="10"/>
        <v/>
      </c>
      <c r="T55" s="396" t="str">
        <f t="shared" si="11"/>
        <v/>
      </c>
      <c r="U55" s="339" t="str">
        <f t="shared" si="12"/>
        <v/>
      </c>
      <c r="W55" s="396">
        <f t="shared" si="1"/>
        <v>0</v>
      </c>
      <c r="X55" s="396">
        <f t="shared" si="2"/>
        <v>0</v>
      </c>
      <c r="Y55" s="396" t="e">
        <f t="shared" si="3"/>
        <v>#VALUE!</v>
      </c>
      <c r="Z55" s="396" t="e">
        <f>VLOOKUP(D55,入力補助!$C$2:$Q$44,14,FALSE)</f>
        <v>#N/A</v>
      </c>
      <c r="AA55" s="396" t="e">
        <f>VLOOKUP(D55,入力補助!$C$2:$Q$44,15,FALSE)</f>
        <v>#N/A</v>
      </c>
      <c r="AB55" s="396" t="e">
        <f>VLOOKUP(D55,入力補助!$C$2:$R$44,16,FALSE)</f>
        <v>#N/A</v>
      </c>
      <c r="AC55" s="396" t="str">
        <f t="shared" si="4"/>
        <v>0</v>
      </c>
      <c r="AD55" s="396" t="e">
        <f t="shared" si="17"/>
        <v>#N/A</v>
      </c>
      <c r="AE55" s="396" t="e">
        <f t="shared" si="16"/>
        <v>#N/A</v>
      </c>
      <c r="AF55" s="396" t="e">
        <f t="shared" si="13"/>
        <v>#N/A</v>
      </c>
      <c r="AG55" s="237" t="e">
        <f>IF(AE55="","",VLOOKUP(IF(OR(AND($AV$9=TRUE,$AN$9=D55),AND($AW$9=TRUE,$AO$9=D55),AND($AX$9=TRUE,$AP$9=D55,E55&lt;50),AND($AU$9=TRUE,$AM$9=D55)),AE55,AF55),入力補助!$Z$3:$AA$94,2,FALSE))</f>
        <v>#N/A</v>
      </c>
      <c r="AH55" s="238" t="str">
        <f t="shared" si="5"/>
        <v/>
      </c>
      <c r="AI55" s="237" t="str">
        <f t="shared" si="6"/>
        <v/>
      </c>
      <c r="AJ55" s="239" t="str">
        <f>IFERROR(VLOOKUP(N55,コード表!$B$6:$BJ$3006,MATCH(AD55,コード表!$B$6:$BJ$6,0)),"")</f>
        <v/>
      </c>
    </row>
    <row r="56" spans="1:36" ht="20.399999999999999" customHeight="1">
      <c r="A56" s="384"/>
      <c r="C56" s="420"/>
      <c r="D56" s="418"/>
      <c r="E56" s="442"/>
      <c r="F56" s="420"/>
      <c r="G56" s="294" t="str">
        <f t="shared" si="7"/>
        <v/>
      </c>
      <c r="H56" s="296" t="str">
        <f t="shared" si="14"/>
        <v/>
      </c>
      <c r="I56" s="422"/>
      <c r="J56" s="298" t="str">
        <f t="shared" si="15"/>
        <v/>
      </c>
      <c r="K56" s="420"/>
      <c r="L56" s="300" t="str">
        <f t="shared" si="8"/>
        <v/>
      </c>
      <c r="M56" s="424"/>
      <c r="N56" s="302" t="str">
        <f t="shared" si="0"/>
        <v/>
      </c>
      <c r="O56" s="426"/>
      <c r="P56" s="324" t="str">
        <f>IF(D56="","",IFERROR(VLOOKUP(AD56,入力補助!$U$3:$V$94,2,FALSE),""))</f>
        <v/>
      </c>
      <c r="Q56" s="295" t="str">
        <f t="shared" si="9"/>
        <v/>
      </c>
      <c r="R56" s="428"/>
      <c r="S56" s="304" t="str">
        <f t="shared" si="10"/>
        <v/>
      </c>
      <c r="T56" s="396" t="str">
        <f t="shared" si="11"/>
        <v/>
      </c>
      <c r="U56" s="339" t="str">
        <f t="shared" si="12"/>
        <v/>
      </c>
      <c r="W56" s="396">
        <f t="shared" si="1"/>
        <v>0</v>
      </c>
      <c r="X56" s="396">
        <f t="shared" si="2"/>
        <v>0</v>
      </c>
      <c r="Y56" s="396" t="e">
        <f t="shared" si="3"/>
        <v>#VALUE!</v>
      </c>
      <c r="Z56" s="396" t="e">
        <f>VLOOKUP(D56,入力補助!$C$2:$Q$44,14,FALSE)</f>
        <v>#N/A</v>
      </c>
      <c r="AA56" s="396" t="e">
        <f>VLOOKUP(D56,入力補助!$C$2:$Q$44,15,FALSE)</f>
        <v>#N/A</v>
      </c>
      <c r="AB56" s="396" t="e">
        <f>VLOOKUP(D56,入力補助!$C$2:$R$44,16,FALSE)</f>
        <v>#N/A</v>
      </c>
      <c r="AC56" s="396" t="str">
        <f t="shared" si="4"/>
        <v>0</v>
      </c>
      <c r="AD56" s="396" t="e">
        <f t="shared" si="17"/>
        <v>#N/A</v>
      </c>
      <c r="AE56" s="396" t="e">
        <f t="shared" si="16"/>
        <v>#N/A</v>
      </c>
      <c r="AF56" s="396" t="e">
        <f t="shared" si="13"/>
        <v>#N/A</v>
      </c>
      <c r="AG56" s="237" t="e">
        <f>IF(AE56="","",VLOOKUP(IF(OR(AND($AV$9=TRUE,$AN$9=D56),AND($AW$9=TRUE,$AO$9=D56),AND($AX$9=TRUE,$AP$9=D56,E56&lt;50),AND($AU$9=TRUE,$AM$9=D56)),AE56,AF56),入力補助!$Z$3:$AA$94,2,FALSE))</f>
        <v>#N/A</v>
      </c>
      <c r="AH56" s="238" t="str">
        <f t="shared" si="5"/>
        <v/>
      </c>
      <c r="AI56" s="237" t="str">
        <f t="shared" si="6"/>
        <v/>
      </c>
      <c r="AJ56" s="239" t="str">
        <f>IFERROR(VLOOKUP(N56,コード表!$B$6:$BJ$3006,MATCH(AD56,コード表!$B$6:$BJ$6,0)),"")</f>
        <v/>
      </c>
    </row>
    <row r="57" spans="1:36" ht="20.399999999999999" customHeight="1">
      <c r="A57" s="384"/>
      <c r="C57" s="420"/>
      <c r="D57" s="418"/>
      <c r="E57" s="442"/>
      <c r="F57" s="420"/>
      <c r="G57" s="294" t="str">
        <f t="shared" si="7"/>
        <v/>
      </c>
      <c r="H57" s="296" t="str">
        <f t="shared" si="14"/>
        <v/>
      </c>
      <c r="I57" s="422"/>
      <c r="J57" s="298" t="str">
        <f t="shared" si="15"/>
        <v/>
      </c>
      <c r="K57" s="420"/>
      <c r="L57" s="300" t="str">
        <f t="shared" si="8"/>
        <v/>
      </c>
      <c r="M57" s="424"/>
      <c r="N57" s="302" t="str">
        <f t="shared" si="0"/>
        <v/>
      </c>
      <c r="O57" s="426"/>
      <c r="P57" s="324" t="str">
        <f>IF(D57="","",IFERROR(VLOOKUP(AD57,入力補助!$U$3:$V$94,2,FALSE),""))</f>
        <v/>
      </c>
      <c r="Q57" s="295" t="str">
        <f t="shared" si="9"/>
        <v/>
      </c>
      <c r="R57" s="428"/>
      <c r="S57" s="304" t="str">
        <f t="shared" si="10"/>
        <v/>
      </c>
      <c r="T57" s="396" t="str">
        <f t="shared" si="11"/>
        <v/>
      </c>
      <c r="U57" s="339" t="str">
        <f t="shared" si="12"/>
        <v/>
      </c>
      <c r="W57" s="396">
        <f t="shared" si="1"/>
        <v>0</v>
      </c>
      <c r="X57" s="396">
        <f t="shared" si="2"/>
        <v>0</v>
      </c>
      <c r="Y57" s="396" t="e">
        <f t="shared" si="3"/>
        <v>#VALUE!</v>
      </c>
      <c r="Z57" s="396" t="e">
        <f>VLOOKUP(D57,入力補助!$C$2:$Q$44,14,FALSE)</f>
        <v>#N/A</v>
      </c>
      <c r="AA57" s="396" t="e">
        <f>VLOOKUP(D57,入力補助!$C$2:$Q$44,15,FALSE)</f>
        <v>#N/A</v>
      </c>
      <c r="AB57" s="396" t="e">
        <f>VLOOKUP(D57,入力補助!$C$2:$R$44,16,FALSE)</f>
        <v>#N/A</v>
      </c>
      <c r="AC57" s="396" t="str">
        <f t="shared" si="4"/>
        <v>0</v>
      </c>
      <c r="AD57" s="396" t="e">
        <f t="shared" si="17"/>
        <v>#N/A</v>
      </c>
      <c r="AE57" s="396" t="e">
        <f t="shared" si="16"/>
        <v>#N/A</v>
      </c>
      <c r="AF57" s="396" t="e">
        <f t="shared" si="13"/>
        <v>#N/A</v>
      </c>
      <c r="AG57" s="237" t="e">
        <f>IF(AE57="","",VLOOKUP(IF(OR(AND($AV$9=TRUE,$AN$9=D57),AND($AW$9=TRUE,$AO$9=D57),AND($AX$9=TRUE,$AP$9=D57,E57&lt;50),AND($AU$9=TRUE,$AM$9=D57)),AE57,AF57),入力補助!$Z$3:$AA$94,2,FALSE))</f>
        <v>#N/A</v>
      </c>
      <c r="AH57" s="238" t="str">
        <f t="shared" si="5"/>
        <v/>
      </c>
      <c r="AI57" s="237" t="str">
        <f t="shared" si="6"/>
        <v/>
      </c>
      <c r="AJ57" s="239" t="str">
        <f>IFERROR(VLOOKUP(N57,コード表!$B$6:$BJ$3006,MATCH(AD57,コード表!$B$6:$BJ$6,0)),"")</f>
        <v/>
      </c>
    </row>
    <row r="58" spans="1:36" ht="20.399999999999999" customHeight="1">
      <c r="A58" s="384"/>
      <c r="C58" s="420"/>
      <c r="D58" s="418"/>
      <c r="E58" s="442"/>
      <c r="F58" s="420"/>
      <c r="G58" s="294" t="str">
        <f t="shared" si="7"/>
        <v/>
      </c>
      <c r="H58" s="296" t="str">
        <f t="shared" si="14"/>
        <v/>
      </c>
      <c r="I58" s="422"/>
      <c r="J58" s="298" t="str">
        <f t="shared" si="15"/>
        <v/>
      </c>
      <c r="K58" s="420"/>
      <c r="L58" s="300" t="str">
        <f t="shared" si="8"/>
        <v/>
      </c>
      <c r="M58" s="424"/>
      <c r="N58" s="302" t="str">
        <f t="shared" si="0"/>
        <v/>
      </c>
      <c r="O58" s="426"/>
      <c r="P58" s="324" t="str">
        <f>IF(D58="","",IFERROR(VLOOKUP(AD58,入力補助!$U$3:$V$94,2,FALSE),""))</f>
        <v/>
      </c>
      <c r="Q58" s="295" t="str">
        <f t="shared" si="9"/>
        <v/>
      </c>
      <c r="R58" s="428"/>
      <c r="S58" s="304" t="str">
        <f t="shared" si="10"/>
        <v/>
      </c>
      <c r="T58" s="396" t="str">
        <f t="shared" si="11"/>
        <v/>
      </c>
      <c r="U58" s="339" t="str">
        <f t="shared" si="12"/>
        <v/>
      </c>
      <c r="W58" s="396">
        <f t="shared" si="1"/>
        <v>0</v>
      </c>
      <c r="X58" s="396">
        <f t="shared" si="2"/>
        <v>0</v>
      </c>
      <c r="Y58" s="396" t="e">
        <f t="shared" si="3"/>
        <v>#VALUE!</v>
      </c>
      <c r="Z58" s="396" t="e">
        <f>VLOOKUP(D58,入力補助!$C$2:$Q$44,14,FALSE)</f>
        <v>#N/A</v>
      </c>
      <c r="AA58" s="396" t="e">
        <f>VLOOKUP(D58,入力補助!$C$2:$Q$44,15,FALSE)</f>
        <v>#N/A</v>
      </c>
      <c r="AB58" s="396" t="e">
        <f>VLOOKUP(D58,入力補助!$C$2:$R$44,16,FALSE)</f>
        <v>#N/A</v>
      </c>
      <c r="AC58" s="396" t="str">
        <f t="shared" si="4"/>
        <v>0</v>
      </c>
      <c r="AD58" s="396" t="e">
        <f t="shared" si="17"/>
        <v>#N/A</v>
      </c>
      <c r="AE58" s="396" t="e">
        <f t="shared" si="16"/>
        <v>#N/A</v>
      </c>
      <c r="AF58" s="396" t="e">
        <f t="shared" si="13"/>
        <v>#N/A</v>
      </c>
      <c r="AG58" s="237" t="e">
        <f>IF(AE58="","",VLOOKUP(IF(OR(AND($AV$9=TRUE,$AN$9=D58),AND($AW$9=TRUE,$AO$9=D58),AND($AX$9=TRUE,$AP$9=D58,E58&lt;50),AND($AU$9=TRUE,$AM$9=D58)),AE58,AF58),入力補助!$Z$3:$AA$94,2,FALSE))</f>
        <v>#N/A</v>
      </c>
      <c r="AH58" s="238" t="str">
        <f t="shared" si="5"/>
        <v/>
      </c>
      <c r="AI58" s="237" t="str">
        <f t="shared" si="6"/>
        <v/>
      </c>
      <c r="AJ58" s="239" t="str">
        <f>IFERROR(VLOOKUP(N58,コード表!$B$6:$BJ$3006,MATCH(AD58,コード表!$B$6:$BJ$6,0)),"")</f>
        <v/>
      </c>
    </row>
    <row r="59" spans="1:36" ht="20.399999999999999" customHeight="1">
      <c r="A59" s="384"/>
      <c r="C59" s="420"/>
      <c r="D59" s="418"/>
      <c r="E59" s="442"/>
      <c r="F59" s="420"/>
      <c r="G59" s="294" t="str">
        <f t="shared" si="7"/>
        <v/>
      </c>
      <c r="H59" s="296" t="str">
        <f t="shared" si="14"/>
        <v/>
      </c>
      <c r="I59" s="422"/>
      <c r="J59" s="298" t="str">
        <f t="shared" si="15"/>
        <v/>
      </c>
      <c r="K59" s="420"/>
      <c r="L59" s="300" t="str">
        <f t="shared" si="8"/>
        <v/>
      </c>
      <c r="M59" s="424"/>
      <c r="N59" s="302" t="str">
        <f t="shared" si="0"/>
        <v/>
      </c>
      <c r="O59" s="426"/>
      <c r="P59" s="324" t="str">
        <f>IF(D59="","",IFERROR(VLOOKUP(AD59,入力補助!$U$3:$V$94,2,FALSE),""))</f>
        <v/>
      </c>
      <c r="Q59" s="295" t="str">
        <f t="shared" si="9"/>
        <v/>
      </c>
      <c r="R59" s="428"/>
      <c r="S59" s="304" t="str">
        <f t="shared" si="10"/>
        <v/>
      </c>
      <c r="T59" s="396" t="str">
        <f t="shared" si="11"/>
        <v/>
      </c>
      <c r="U59" s="339" t="str">
        <f t="shared" si="12"/>
        <v/>
      </c>
      <c r="W59" s="396">
        <f t="shared" si="1"/>
        <v>0</v>
      </c>
      <c r="X59" s="396">
        <f t="shared" si="2"/>
        <v>0</v>
      </c>
      <c r="Y59" s="396" t="e">
        <f t="shared" si="3"/>
        <v>#VALUE!</v>
      </c>
      <c r="Z59" s="396" t="e">
        <f>VLOOKUP(D59,入力補助!$C$2:$Q$44,14,FALSE)</f>
        <v>#N/A</v>
      </c>
      <c r="AA59" s="396" t="e">
        <f>VLOOKUP(D59,入力補助!$C$2:$Q$44,15,FALSE)</f>
        <v>#N/A</v>
      </c>
      <c r="AB59" s="396" t="e">
        <f>VLOOKUP(D59,入力補助!$C$2:$R$44,16,FALSE)</f>
        <v>#N/A</v>
      </c>
      <c r="AC59" s="396" t="str">
        <f t="shared" si="4"/>
        <v>0</v>
      </c>
      <c r="AD59" s="396" t="e">
        <f t="shared" si="17"/>
        <v>#N/A</v>
      </c>
      <c r="AE59" s="396" t="e">
        <f t="shared" si="16"/>
        <v>#N/A</v>
      </c>
      <c r="AF59" s="396" t="e">
        <f t="shared" si="13"/>
        <v>#N/A</v>
      </c>
      <c r="AG59" s="237" t="e">
        <f>IF(AE59="","",VLOOKUP(IF(OR(AND($AV$9=TRUE,$AN$9=D59),AND($AW$9=TRUE,$AO$9=D59),AND($AX$9=TRUE,$AP$9=D59,E59&lt;50),AND($AU$9=TRUE,$AM$9=D59)),AE59,AF59),入力補助!$Z$3:$AA$94,2,FALSE))</f>
        <v>#N/A</v>
      </c>
      <c r="AH59" s="238" t="str">
        <f t="shared" si="5"/>
        <v/>
      </c>
      <c r="AI59" s="237" t="str">
        <f t="shared" si="6"/>
        <v/>
      </c>
      <c r="AJ59" s="239" t="str">
        <f>IFERROR(VLOOKUP(N59,コード表!$B$6:$BJ$3006,MATCH(AD59,コード表!$B$6:$BJ$6,0)),"")</f>
        <v/>
      </c>
    </row>
    <row r="60" spans="1:36" ht="20.399999999999999" customHeight="1">
      <c r="A60" s="384"/>
      <c r="C60" s="420"/>
      <c r="D60" s="418"/>
      <c r="E60" s="442"/>
      <c r="F60" s="420"/>
      <c r="G60" s="294" t="str">
        <f t="shared" si="7"/>
        <v/>
      </c>
      <c r="H60" s="296" t="str">
        <f t="shared" si="14"/>
        <v/>
      </c>
      <c r="I60" s="422"/>
      <c r="J60" s="298" t="str">
        <f t="shared" si="15"/>
        <v/>
      </c>
      <c r="K60" s="420"/>
      <c r="L60" s="300" t="str">
        <f t="shared" si="8"/>
        <v/>
      </c>
      <c r="M60" s="424"/>
      <c r="N60" s="302" t="str">
        <f t="shared" si="0"/>
        <v/>
      </c>
      <c r="O60" s="426"/>
      <c r="P60" s="324" t="str">
        <f>IF(D60="","",IFERROR(VLOOKUP(AD60,入力補助!$U$3:$V$94,2,FALSE),""))</f>
        <v/>
      </c>
      <c r="Q60" s="295" t="str">
        <f t="shared" si="9"/>
        <v/>
      </c>
      <c r="R60" s="428"/>
      <c r="S60" s="304" t="str">
        <f t="shared" si="10"/>
        <v/>
      </c>
      <c r="T60" s="396" t="str">
        <f t="shared" si="11"/>
        <v/>
      </c>
      <c r="U60" s="339" t="str">
        <f t="shared" si="12"/>
        <v/>
      </c>
      <c r="W60" s="396">
        <f t="shared" si="1"/>
        <v>0</v>
      </c>
      <c r="X60" s="396">
        <f t="shared" si="2"/>
        <v>0</v>
      </c>
      <c r="Y60" s="396" t="e">
        <f t="shared" si="3"/>
        <v>#VALUE!</v>
      </c>
      <c r="Z60" s="396" t="e">
        <f>VLOOKUP(D60,入力補助!$C$2:$Q$44,14,FALSE)</f>
        <v>#N/A</v>
      </c>
      <c r="AA60" s="396" t="e">
        <f>VLOOKUP(D60,入力補助!$C$2:$Q$44,15,FALSE)</f>
        <v>#N/A</v>
      </c>
      <c r="AB60" s="396" t="e">
        <f>VLOOKUP(D60,入力補助!$C$2:$R$44,16,FALSE)</f>
        <v>#N/A</v>
      </c>
      <c r="AC60" s="396" t="str">
        <f t="shared" si="4"/>
        <v>0</v>
      </c>
      <c r="AD60" s="396" t="e">
        <f t="shared" si="17"/>
        <v>#N/A</v>
      </c>
      <c r="AE60" s="396" t="e">
        <f t="shared" si="16"/>
        <v>#N/A</v>
      </c>
      <c r="AF60" s="396" t="e">
        <f t="shared" si="13"/>
        <v>#N/A</v>
      </c>
      <c r="AG60" s="237" t="e">
        <f>IF(AE60="","",VLOOKUP(IF(OR(AND($AV$9=TRUE,$AN$9=D60),AND($AW$9=TRUE,$AO$9=D60),AND($AX$9=TRUE,$AP$9=D60,E60&lt;50),AND($AU$9=TRUE,$AM$9=D60)),AE60,AF60),入力補助!$Z$3:$AA$94,2,FALSE))</f>
        <v>#N/A</v>
      </c>
      <c r="AH60" s="238" t="str">
        <f t="shared" si="5"/>
        <v/>
      </c>
      <c r="AI60" s="237" t="str">
        <f t="shared" si="6"/>
        <v/>
      </c>
      <c r="AJ60" s="239" t="str">
        <f>IFERROR(VLOOKUP(N60,コード表!$B$6:$BJ$3006,MATCH(AD60,コード表!$B$6:$BJ$6,0)),"")</f>
        <v/>
      </c>
    </row>
    <row r="61" spans="1:36" ht="20.399999999999999" customHeight="1">
      <c r="A61" s="384"/>
      <c r="C61" s="420"/>
      <c r="D61" s="418"/>
      <c r="E61" s="442"/>
      <c r="F61" s="420"/>
      <c r="G61" s="294" t="str">
        <f t="shared" si="7"/>
        <v/>
      </c>
      <c r="H61" s="296" t="str">
        <f t="shared" si="14"/>
        <v/>
      </c>
      <c r="I61" s="422"/>
      <c r="J61" s="298" t="str">
        <f t="shared" si="15"/>
        <v/>
      </c>
      <c r="K61" s="420"/>
      <c r="L61" s="300" t="str">
        <f t="shared" si="8"/>
        <v/>
      </c>
      <c r="M61" s="424"/>
      <c r="N61" s="302" t="str">
        <f t="shared" si="0"/>
        <v/>
      </c>
      <c r="O61" s="426"/>
      <c r="P61" s="324" t="str">
        <f>IF(D61="","",IFERROR(VLOOKUP(AD61,入力補助!$U$3:$V$94,2,FALSE),""))</f>
        <v/>
      </c>
      <c r="Q61" s="295" t="str">
        <f t="shared" si="9"/>
        <v/>
      </c>
      <c r="R61" s="428"/>
      <c r="S61" s="304" t="str">
        <f t="shared" si="10"/>
        <v/>
      </c>
      <c r="T61" s="396" t="str">
        <f t="shared" si="11"/>
        <v/>
      </c>
      <c r="U61" s="339" t="str">
        <f t="shared" si="12"/>
        <v/>
      </c>
      <c r="W61" s="396">
        <f t="shared" si="1"/>
        <v>0</v>
      </c>
      <c r="X61" s="396">
        <f t="shared" si="2"/>
        <v>0</v>
      </c>
      <c r="Y61" s="396" t="e">
        <f t="shared" si="3"/>
        <v>#VALUE!</v>
      </c>
      <c r="Z61" s="396" t="e">
        <f>VLOOKUP(D61,入力補助!$C$2:$Q$44,14,FALSE)</f>
        <v>#N/A</v>
      </c>
      <c r="AA61" s="396" t="e">
        <f>VLOOKUP(D61,入力補助!$C$2:$Q$44,15,FALSE)</f>
        <v>#N/A</v>
      </c>
      <c r="AB61" s="396" t="e">
        <f>VLOOKUP(D61,入力補助!$C$2:$R$44,16,FALSE)</f>
        <v>#N/A</v>
      </c>
      <c r="AC61" s="396" t="str">
        <f t="shared" si="4"/>
        <v>0</v>
      </c>
      <c r="AD61" s="396" t="e">
        <f t="shared" si="17"/>
        <v>#N/A</v>
      </c>
      <c r="AE61" s="396" t="e">
        <f t="shared" si="16"/>
        <v>#N/A</v>
      </c>
      <c r="AF61" s="396" t="e">
        <f t="shared" si="13"/>
        <v>#N/A</v>
      </c>
      <c r="AG61" s="237" t="e">
        <f>IF(AE61="","",VLOOKUP(IF(OR(AND($AV$9=TRUE,$AN$9=D61),AND($AW$9=TRUE,$AO$9=D61),AND($AX$9=TRUE,$AP$9=D61,E61&lt;50),AND($AU$9=TRUE,$AM$9=D61)),AE61,AF61),入力補助!$Z$3:$AA$94,2,FALSE))</f>
        <v>#N/A</v>
      </c>
      <c r="AH61" s="238" t="str">
        <f t="shared" si="5"/>
        <v/>
      </c>
      <c r="AI61" s="237" t="str">
        <f t="shared" si="6"/>
        <v/>
      </c>
      <c r="AJ61" s="239" t="str">
        <f>IFERROR(VLOOKUP(N61,コード表!$B$6:$BJ$3006,MATCH(AD61,コード表!$B$6:$BJ$6,0)),"")</f>
        <v/>
      </c>
    </row>
    <row r="62" spans="1:36" ht="20.399999999999999" customHeight="1">
      <c r="A62" s="384"/>
      <c r="C62" s="420"/>
      <c r="D62" s="418"/>
      <c r="E62" s="442"/>
      <c r="F62" s="420"/>
      <c r="G62" s="294" t="str">
        <f t="shared" si="7"/>
        <v/>
      </c>
      <c r="H62" s="296" t="str">
        <f t="shared" si="14"/>
        <v/>
      </c>
      <c r="I62" s="422"/>
      <c r="J62" s="298" t="str">
        <f t="shared" si="15"/>
        <v/>
      </c>
      <c r="K62" s="420"/>
      <c r="L62" s="300" t="str">
        <f t="shared" si="8"/>
        <v/>
      </c>
      <c r="M62" s="424"/>
      <c r="N62" s="302" t="str">
        <f t="shared" si="0"/>
        <v/>
      </c>
      <c r="O62" s="426"/>
      <c r="P62" s="324" t="str">
        <f>IF(D62="","",IFERROR(VLOOKUP(AD62,入力補助!$U$3:$V$94,2,FALSE),""))</f>
        <v/>
      </c>
      <c r="Q62" s="295" t="str">
        <f t="shared" si="9"/>
        <v/>
      </c>
      <c r="R62" s="428"/>
      <c r="S62" s="304" t="str">
        <f t="shared" si="10"/>
        <v/>
      </c>
      <c r="T62" s="396" t="str">
        <f t="shared" si="11"/>
        <v/>
      </c>
      <c r="U62" s="339" t="str">
        <f t="shared" si="12"/>
        <v/>
      </c>
      <c r="W62" s="396">
        <f t="shared" si="1"/>
        <v>0</v>
      </c>
      <c r="X62" s="396">
        <f t="shared" si="2"/>
        <v>0</v>
      </c>
      <c r="Y62" s="396" t="e">
        <f t="shared" si="3"/>
        <v>#VALUE!</v>
      </c>
      <c r="Z62" s="396" t="e">
        <f>VLOOKUP(D62,入力補助!$C$2:$Q$44,14,FALSE)</f>
        <v>#N/A</v>
      </c>
      <c r="AA62" s="396" t="e">
        <f>VLOOKUP(D62,入力補助!$C$2:$Q$44,15,FALSE)</f>
        <v>#N/A</v>
      </c>
      <c r="AB62" s="396" t="e">
        <f>VLOOKUP(D62,入力補助!$C$2:$R$44,16,FALSE)</f>
        <v>#N/A</v>
      </c>
      <c r="AC62" s="396" t="str">
        <f t="shared" si="4"/>
        <v>0</v>
      </c>
      <c r="AD62" s="396" t="e">
        <f t="shared" si="17"/>
        <v>#N/A</v>
      </c>
      <c r="AE62" s="396" t="e">
        <f t="shared" si="16"/>
        <v>#N/A</v>
      </c>
      <c r="AF62" s="396" t="e">
        <f t="shared" si="13"/>
        <v>#N/A</v>
      </c>
      <c r="AG62" s="237" t="e">
        <f>IF(AE62="","",VLOOKUP(IF(OR(AND($AV$9=TRUE,$AN$9=D62),AND($AW$9=TRUE,$AO$9=D62),AND($AX$9=TRUE,$AP$9=D62,E62&lt;50),AND($AU$9=TRUE,$AM$9=D62)),AE62,AF62),入力補助!$Z$3:$AA$94,2,FALSE))</f>
        <v>#N/A</v>
      </c>
      <c r="AH62" s="238" t="str">
        <f t="shared" si="5"/>
        <v/>
      </c>
      <c r="AI62" s="237" t="str">
        <f t="shared" si="6"/>
        <v/>
      </c>
      <c r="AJ62" s="239" t="str">
        <f>IFERROR(VLOOKUP(N62,コード表!$B$6:$BJ$3006,MATCH(AD62,コード表!$B$6:$BJ$6,0)),"")</f>
        <v/>
      </c>
    </row>
    <row r="63" spans="1:36" ht="20.399999999999999" customHeight="1">
      <c r="A63" s="384"/>
      <c r="C63" s="420"/>
      <c r="D63" s="418"/>
      <c r="E63" s="442"/>
      <c r="F63" s="420"/>
      <c r="G63" s="294" t="str">
        <f t="shared" si="7"/>
        <v/>
      </c>
      <c r="H63" s="296" t="str">
        <f t="shared" si="14"/>
        <v/>
      </c>
      <c r="I63" s="422"/>
      <c r="J63" s="298" t="str">
        <f t="shared" si="15"/>
        <v/>
      </c>
      <c r="K63" s="420"/>
      <c r="L63" s="300" t="str">
        <f t="shared" si="8"/>
        <v/>
      </c>
      <c r="M63" s="424"/>
      <c r="N63" s="302" t="str">
        <f t="shared" si="0"/>
        <v/>
      </c>
      <c r="O63" s="426"/>
      <c r="P63" s="324" t="str">
        <f>IF(D63="","",IFERROR(VLOOKUP(AD63,入力補助!$U$3:$V$94,2,FALSE),""))</f>
        <v/>
      </c>
      <c r="Q63" s="295" t="str">
        <f t="shared" si="9"/>
        <v/>
      </c>
      <c r="R63" s="428"/>
      <c r="S63" s="304" t="str">
        <f t="shared" si="10"/>
        <v/>
      </c>
      <c r="T63" s="396" t="str">
        <f t="shared" si="11"/>
        <v/>
      </c>
      <c r="U63" s="339" t="str">
        <f t="shared" si="12"/>
        <v/>
      </c>
      <c r="W63" s="396">
        <f t="shared" si="1"/>
        <v>0</v>
      </c>
      <c r="X63" s="396">
        <f t="shared" si="2"/>
        <v>0</v>
      </c>
      <c r="Y63" s="396" t="e">
        <f t="shared" si="3"/>
        <v>#VALUE!</v>
      </c>
      <c r="Z63" s="396" t="e">
        <f>VLOOKUP(D63,入力補助!$C$2:$Q$44,14,FALSE)</f>
        <v>#N/A</v>
      </c>
      <c r="AA63" s="396" t="e">
        <f>VLOOKUP(D63,入力補助!$C$2:$Q$44,15,FALSE)</f>
        <v>#N/A</v>
      </c>
      <c r="AB63" s="396" t="e">
        <f>VLOOKUP(D63,入力補助!$C$2:$R$44,16,FALSE)</f>
        <v>#N/A</v>
      </c>
      <c r="AC63" s="396" t="str">
        <f t="shared" si="4"/>
        <v>0</v>
      </c>
      <c r="AD63" s="396" t="e">
        <f t="shared" si="17"/>
        <v>#N/A</v>
      </c>
      <c r="AE63" s="396" t="e">
        <f t="shared" si="16"/>
        <v>#N/A</v>
      </c>
      <c r="AF63" s="396" t="e">
        <f t="shared" si="13"/>
        <v>#N/A</v>
      </c>
      <c r="AG63" s="237" t="e">
        <f>IF(AE63="","",VLOOKUP(IF(OR(AND($AV$9=TRUE,$AN$9=D63),AND($AW$9=TRUE,$AO$9=D63),AND($AX$9=TRUE,$AP$9=D63,E63&lt;50),AND($AU$9=TRUE,$AM$9=D63)),AE63,AF63),入力補助!$Z$3:$AA$94,2,FALSE))</f>
        <v>#N/A</v>
      </c>
      <c r="AH63" s="238" t="str">
        <f t="shared" si="5"/>
        <v/>
      </c>
      <c r="AI63" s="237" t="str">
        <f t="shared" si="6"/>
        <v/>
      </c>
      <c r="AJ63" s="239" t="str">
        <f>IFERROR(VLOOKUP(N63,コード表!$B$6:$BJ$3006,MATCH(AD63,コード表!$B$6:$BJ$6,0)),"")</f>
        <v/>
      </c>
    </row>
    <row r="64" spans="1:36" ht="20.399999999999999" customHeight="1">
      <c r="A64" s="384"/>
      <c r="C64" s="420"/>
      <c r="D64" s="418"/>
      <c r="E64" s="442"/>
      <c r="F64" s="420"/>
      <c r="G64" s="294" t="str">
        <f t="shared" si="7"/>
        <v/>
      </c>
      <c r="H64" s="296" t="str">
        <f t="shared" si="14"/>
        <v/>
      </c>
      <c r="I64" s="422"/>
      <c r="J64" s="298" t="str">
        <f t="shared" si="15"/>
        <v/>
      </c>
      <c r="K64" s="420"/>
      <c r="L64" s="300" t="str">
        <f t="shared" si="8"/>
        <v/>
      </c>
      <c r="M64" s="424"/>
      <c r="N64" s="302" t="str">
        <f t="shared" si="0"/>
        <v/>
      </c>
      <c r="O64" s="426"/>
      <c r="P64" s="324" t="str">
        <f>IF(D64="","",IFERROR(VLOOKUP(AD64,入力補助!$U$3:$V$94,2,FALSE),""))</f>
        <v/>
      </c>
      <c r="Q64" s="295" t="str">
        <f t="shared" si="9"/>
        <v/>
      </c>
      <c r="R64" s="428"/>
      <c r="S64" s="304" t="str">
        <f t="shared" si="10"/>
        <v/>
      </c>
      <c r="T64" s="396" t="str">
        <f t="shared" si="11"/>
        <v/>
      </c>
      <c r="U64" s="339" t="str">
        <f t="shared" si="12"/>
        <v/>
      </c>
      <c r="W64" s="396">
        <f t="shared" si="1"/>
        <v>0</v>
      </c>
      <c r="X64" s="396">
        <f t="shared" si="2"/>
        <v>0</v>
      </c>
      <c r="Y64" s="396" t="e">
        <f t="shared" si="3"/>
        <v>#VALUE!</v>
      </c>
      <c r="Z64" s="396" t="e">
        <f>VLOOKUP(D64,入力補助!$C$2:$Q$44,14,FALSE)</f>
        <v>#N/A</v>
      </c>
      <c r="AA64" s="396" t="e">
        <f>VLOOKUP(D64,入力補助!$C$2:$Q$44,15,FALSE)</f>
        <v>#N/A</v>
      </c>
      <c r="AB64" s="396" t="e">
        <f>VLOOKUP(D64,入力補助!$C$2:$R$44,16,FALSE)</f>
        <v>#N/A</v>
      </c>
      <c r="AC64" s="396" t="str">
        <f t="shared" si="4"/>
        <v>0</v>
      </c>
      <c r="AD64" s="396" t="e">
        <f t="shared" si="17"/>
        <v>#N/A</v>
      </c>
      <c r="AE64" s="396" t="e">
        <f t="shared" si="16"/>
        <v>#N/A</v>
      </c>
      <c r="AF64" s="396" t="e">
        <f t="shared" si="13"/>
        <v>#N/A</v>
      </c>
      <c r="AG64" s="237" t="e">
        <f>IF(AE64="","",VLOOKUP(IF(OR(AND($AV$9=TRUE,$AN$9=D64),AND($AW$9=TRUE,$AO$9=D64),AND($AX$9=TRUE,$AP$9=D64,E64&lt;50),AND($AU$9=TRUE,$AM$9=D64)),AE64,AF64),入力補助!$Z$3:$AA$94,2,FALSE))</f>
        <v>#N/A</v>
      </c>
      <c r="AH64" s="238" t="str">
        <f t="shared" si="5"/>
        <v/>
      </c>
      <c r="AI64" s="237" t="str">
        <f t="shared" si="6"/>
        <v/>
      </c>
      <c r="AJ64" s="239" t="str">
        <f>IFERROR(VLOOKUP(N64,コード表!$B$6:$BJ$3006,MATCH(AD64,コード表!$B$6:$BJ$6,0)),"")</f>
        <v/>
      </c>
    </row>
    <row r="65" spans="3:19" ht="20.399999999999999" customHeight="1">
      <c r="C65" s="514" t="s">
        <v>227</v>
      </c>
      <c r="D65" s="515"/>
      <c r="E65" s="516"/>
      <c r="F65" s="527" t="s">
        <v>228</v>
      </c>
      <c r="G65" s="528"/>
      <c r="H65" s="311">
        <f>SUMIF($T$16:$T$64,"S",$S$16:$S$64)+SUMIF(T16:T64,"C",S16:S64)</f>
        <v>0</v>
      </c>
      <c r="I65" s="312" t="s">
        <v>332</v>
      </c>
      <c r="J65" s="313">
        <f>H65</f>
        <v>0</v>
      </c>
      <c r="K65" s="317"/>
      <c r="L65" s="318"/>
      <c r="M65" s="318"/>
      <c r="N65" s="318"/>
      <c r="O65" s="318"/>
      <c r="P65" s="318"/>
      <c r="Q65" s="318"/>
      <c r="R65" s="321"/>
      <c r="S65" s="304">
        <f>J65</f>
        <v>0</v>
      </c>
    </row>
    <row r="66" spans="3:19" ht="20.399999999999999" customHeight="1">
      <c r="C66" s="514" t="s">
        <v>335</v>
      </c>
      <c r="D66" s="515"/>
      <c r="E66" s="516"/>
      <c r="F66" s="527" t="s">
        <v>70</v>
      </c>
      <c r="G66" s="528"/>
      <c r="H66" s="314">
        <f>SUMIF($T$16:$T$54,"V",$S$16:$S$54)</f>
        <v>0</v>
      </c>
      <c r="I66" s="315" t="s">
        <v>333</v>
      </c>
      <c r="J66" s="316">
        <f>ROUND(H66*0.2,2)</f>
        <v>0</v>
      </c>
      <c r="K66" s="287"/>
      <c r="L66" s="272"/>
      <c r="M66" s="272"/>
      <c r="N66" s="272"/>
      <c r="O66" s="272"/>
      <c r="P66" s="272"/>
      <c r="Q66" s="272"/>
      <c r="R66" s="319"/>
      <c r="S66" s="304">
        <f>J66</f>
        <v>0</v>
      </c>
    </row>
    <row r="67" spans="3:19" ht="20.399999999999999" customHeight="1">
      <c r="C67" s="514" t="s">
        <v>227</v>
      </c>
      <c r="D67" s="515"/>
      <c r="E67" s="516"/>
      <c r="F67" s="529" t="s">
        <v>70</v>
      </c>
      <c r="G67" s="530"/>
      <c r="H67" s="445" t="str">
        <f>"（"&amp;H66</f>
        <v>（0</v>
      </c>
      <c r="I67" s="315" t="str">
        <f>"+"&amp;J66&amp;"）"</f>
        <v>+0）</v>
      </c>
      <c r="J67" s="315" t="s">
        <v>334</v>
      </c>
      <c r="K67" s="316">
        <f>(H66+J66)*2</f>
        <v>0</v>
      </c>
      <c r="L67" s="272"/>
      <c r="M67" s="272"/>
      <c r="N67" s="272"/>
      <c r="O67" s="272"/>
      <c r="P67" s="272"/>
      <c r="Q67" s="272"/>
      <c r="R67" s="319"/>
      <c r="S67" s="304">
        <f>K67</f>
        <v>0</v>
      </c>
    </row>
    <row r="68" spans="3:19" ht="20.399999999999999" customHeight="1">
      <c r="C68" s="514" t="s">
        <v>226</v>
      </c>
      <c r="D68" s="515"/>
      <c r="E68" s="516"/>
      <c r="F68" s="531"/>
      <c r="G68" s="532"/>
      <c r="H68" s="532"/>
      <c r="I68" s="532"/>
      <c r="J68" s="532"/>
      <c r="K68" s="532"/>
      <c r="L68" s="532"/>
      <c r="M68" s="532"/>
      <c r="N68" s="532"/>
      <c r="O68" s="532"/>
      <c r="P68" s="532"/>
      <c r="Q68" s="532"/>
      <c r="R68" s="533"/>
      <c r="S68" s="430"/>
    </row>
    <row r="69" spans="3:19" ht="26.1" customHeight="1" thickBot="1">
      <c r="C69" s="542" t="s">
        <v>225</v>
      </c>
      <c r="D69" s="543"/>
      <c r="E69" s="544"/>
      <c r="F69" s="5"/>
      <c r="G69" s="6"/>
      <c r="H69" s="6"/>
      <c r="I69" s="6"/>
      <c r="J69" s="6"/>
      <c r="K69" s="6"/>
      <c r="L69" s="6"/>
      <c r="M69" s="6"/>
      <c r="N69" s="545"/>
      <c r="O69" s="545"/>
      <c r="P69" s="545"/>
      <c r="Q69" s="545"/>
      <c r="R69" s="546"/>
      <c r="S69" s="374">
        <f>SUM(S15:S68)</f>
        <v>0</v>
      </c>
    </row>
    <row r="71" spans="3:19" ht="22.2">
      <c r="C71" s="503" t="s">
        <v>220</v>
      </c>
      <c r="D71" s="559" t="s">
        <v>365</v>
      </c>
      <c r="E71" s="560"/>
      <c r="F71" s="560"/>
      <c r="G71" s="560"/>
      <c r="H71" s="560"/>
      <c r="I71" s="534" t="str">
        <f>S69&amp;"ｍ ≒"</f>
        <v>0ｍ ≒</v>
      </c>
      <c r="J71" s="534"/>
      <c r="K71" s="375">
        <f>ROUNDUP(S69,0)</f>
        <v>0</v>
      </c>
      <c r="L71" s="535" t="str">
        <f>"("&amp;K71/100&amp;"MPa)に設定する。"</f>
        <v>(0MPa)に設定する。</v>
      </c>
      <c r="M71" s="535"/>
      <c r="N71" s="535"/>
      <c r="O71" s="535"/>
      <c r="P71" s="535"/>
      <c r="Q71" s="378"/>
      <c r="R71" s="507" t="s">
        <v>391</v>
      </c>
      <c r="S71" s="286" t="s">
        <v>221</v>
      </c>
    </row>
    <row r="72" spans="3:19" ht="21.9" customHeight="1">
      <c r="C72" s="503"/>
      <c r="D72" s="561" t="s">
        <v>366</v>
      </c>
      <c r="E72" s="550"/>
      <c r="F72" s="550"/>
      <c r="G72" s="550"/>
      <c r="H72" s="550"/>
      <c r="I72" s="376">
        <f>K71</f>
        <v>0</v>
      </c>
      <c r="J72" s="547" t="s">
        <v>368</v>
      </c>
      <c r="K72" s="547"/>
      <c r="L72" s="377">
        <f>'水理計算書(直結加圧装置まで)'!S61</f>
        <v>0</v>
      </c>
      <c r="M72" s="547" t="s">
        <v>367</v>
      </c>
      <c r="N72" s="547"/>
      <c r="O72" s="383" t="str">
        <f>"= "&amp;I72-L72&amp;"ｍ"</f>
        <v>= 0ｍ</v>
      </c>
      <c r="P72" s="548" t="str">
        <f>"≒ "&amp;ROUNDUP(I72-L72,0)&amp;".0 ｍ"</f>
        <v>≒ 0.0 ｍ</v>
      </c>
      <c r="Q72" s="548"/>
      <c r="R72" s="508"/>
      <c r="S72" s="491"/>
    </row>
    <row r="73" spans="3:19" ht="22.5" customHeight="1">
      <c r="C73" s="503"/>
      <c r="D73" s="380"/>
      <c r="E73" s="549" t="s">
        <v>369</v>
      </c>
      <c r="F73" s="550"/>
      <c r="G73" s="550"/>
      <c r="H73" s="550"/>
      <c r="I73" s="371" t="e">
        <f>VLOOKUP(COUNT('水理計算書(直結加圧装置まで)'!N14:N53),'水理計算書(直結加圧装置まで)'!A14:N53,14,FALSE)</f>
        <v>#N/A</v>
      </c>
      <c r="J73" s="371" t="s">
        <v>372</v>
      </c>
      <c r="K73" s="386" t="s">
        <v>370</v>
      </c>
      <c r="L73" s="371" t="e">
        <f>I73*60</f>
        <v>#N/A</v>
      </c>
      <c r="M73" s="371" t="s">
        <v>371</v>
      </c>
      <c r="N73" s="379"/>
      <c r="O73" s="379"/>
      <c r="P73" s="379"/>
      <c r="Q73" s="379"/>
      <c r="R73" s="508"/>
      <c r="S73" s="492"/>
    </row>
    <row r="74" spans="3:19" ht="22.5" customHeight="1">
      <c r="C74" s="503"/>
      <c r="D74" s="380"/>
      <c r="E74" s="549" t="s">
        <v>373</v>
      </c>
      <c r="F74" s="550"/>
      <c r="G74" s="550"/>
      <c r="H74" s="550"/>
      <c r="I74" s="371" t="e">
        <f>L73</f>
        <v>#N/A</v>
      </c>
      <c r="J74" s="371" t="s">
        <v>371</v>
      </c>
      <c r="K74" s="385" t="s">
        <v>374</v>
      </c>
      <c r="L74" s="379"/>
      <c r="M74" s="387">
        <f>ROUNDUP(I72-L72,0)</f>
        <v>0</v>
      </c>
      <c r="N74" s="385" t="s">
        <v>375</v>
      </c>
      <c r="O74" s="379"/>
      <c r="P74" s="379"/>
      <c r="Q74" s="379"/>
      <c r="R74" s="508"/>
      <c r="S74" s="492"/>
    </row>
    <row r="75" spans="3:19" ht="20.399999999999999" customHeight="1">
      <c r="C75" s="503"/>
      <c r="D75" s="381"/>
      <c r="E75" s="382"/>
      <c r="F75" s="382"/>
      <c r="G75" s="382"/>
      <c r="H75" s="382"/>
      <c r="I75" s="382"/>
      <c r="J75" s="382"/>
      <c r="K75" s="382"/>
      <c r="L75" s="382"/>
      <c r="M75" s="382"/>
      <c r="N75" s="382"/>
      <c r="O75" s="382"/>
      <c r="P75" s="382"/>
      <c r="Q75" s="382"/>
      <c r="R75" s="509"/>
      <c r="S75" s="493"/>
    </row>
    <row r="76" spans="3:19">
      <c r="S76" s="14" t="str">
        <f>'水理計算書(直結加圧装置まで)'!S68</f>
        <v>Ver.1.00.3</v>
      </c>
    </row>
  </sheetData>
  <sheetProtection algorithmName="SHA-512" hashValue="lfqyat8ZVSrJS/z02CpgLRKFuRnH54ksR/ta2wOapHjRGucpGEUoLjrMmV8ENEWNCb0NVBcNqhWUfNFKbwxbag==" saltValue="2f8JmpgYWYTX4F6g9YvmAQ==" spinCount="100000" sheet="1" formatCells="0" formatRows="0"/>
  <dataConsolidate/>
  <mergeCells count="53">
    <mergeCell ref="S72:S75"/>
    <mergeCell ref="E73:H73"/>
    <mergeCell ref="E74:H74"/>
    <mergeCell ref="C68:E68"/>
    <mergeCell ref="C69:E69"/>
    <mergeCell ref="N69:R69"/>
    <mergeCell ref="C71:C75"/>
    <mergeCell ref="D71:H71"/>
    <mergeCell ref="I71:J71"/>
    <mergeCell ref="L71:P71"/>
    <mergeCell ref="R71:R75"/>
    <mergeCell ref="D72:H72"/>
    <mergeCell ref="J72:K72"/>
    <mergeCell ref="M72:N72"/>
    <mergeCell ref="P72:Q72"/>
    <mergeCell ref="F68:R68"/>
    <mergeCell ref="C65:E65"/>
    <mergeCell ref="F65:G65"/>
    <mergeCell ref="C66:E66"/>
    <mergeCell ref="F66:G66"/>
    <mergeCell ref="C67:E67"/>
    <mergeCell ref="F67:G67"/>
    <mergeCell ref="AG12:AI12"/>
    <mergeCell ref="C9:S9"/>
    <mergeCell ref="V9:AL9"/>
    <mergeCell ref="AQ9:AS9"/>
    <mergeCell ref="V10:AD12"/>
    <mergeCell ref="C12:C14"/>
    <mergeCell ref="D12:D14"/>
    <mergeCell ref="E12:E13"/>
    <mergeCell ref="F12:F13"/>
    <mergeCell ref="I12:I13"/>
    <mergeCell ref="K12:K13"/>
    <mergeCell ref="O12:O13"/>
    <mergeCell ref="P12:P13"/>
    <mergeCell ref="Q12:Q13"/>
    <mergeCell ref="R12:R13"/>
    <mergeCell ref="S12:S13"/>
    <mergeCell ref="AS5:AZ5"/>
    <mergeCell ref="L6:M6"/>
    <mergeCell ref="N6:S6"/>
    <mergeCell ref="V6:AL7"/>
    <mergeCell ref="AM6:AN7"/>
    <mergeCell ref="AO6:AT7"/>
    <mergeCell ref="L7:M7"/>
    <mergeCell ref="N7:S7"/>
    <mergeCell ref="B1:T3"/>
    <mergeCell ref="O4:T4"/>
    <mergeCell ref="V4:AR5"/>
    <mergeCell ref="C5:D7"/>
    <mergeCell ref="E5:K7"/>
    <mergeCell ref="L5:M5"/>
    <mergeCell ref="N5:S5"/>
  </mergeCells>
  <phoneticPr fontId="1"/>
  <conditionalFormatting sqref="O15:O64">
    <cfRule type="expression" dxfId="1" priority="1">
      <formula>AND(ISNUMBER(Q15)=TRUE,P15="")</formula>
    </cfRule>
  </conditionalFormatting>
  <conditionalFormatting sqref="AH16:AH64">
    <cfRule type="cellIs" dxfId="0" priority="2" stopIfTrue="1" operator="greaterThan">
      <formula>2</formula>
    </cfRule>
  </conditionalFormatting>
  <dataValidations count="2">
    <dataValidation type="list" allowBlank="1" showInputMessage="1" sqref="E15:E64" xr:uid="{F0139F26-68B1-495D-BAA8-B0719C9822BC}">
      <formula1>INDIRECT(D15)</formula1>
    </dataValidation>
    <dataValidation allowBlank="1" showInputMessage="1" sqref="D15" xr:uid="{5EC4086A-3388-43E2-8CA9-9A6263B0CB68}"/>
  </dataValidations>
  <pageMargins left="0.23622047244094491" right="0.23622047244094491" top="0.74803149606299213" bottom="0.74803149606299213" header="0.31496062992125984" footer="0.31496062992125984"/>
  <pageSetup paperSize="9" scale="47" orientation="portrait" blackAndWhite="1" r:id="rId1"/>
  <colBreaks count="1" manualBreakCount="1">
    <brk id="21" max="6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37</xdr:col>
                    <xdr:colOff>457200</xdr:colOff>
                    <xdr:row>7</xdr:row>
                    <xdr:rowOff>289560</xdr:rowOff>
                  </from>
                  <to>
                    <xdr:col>38</xdr:col>
                    <xdr:colOff>441960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38</xdr:col>
                    <xdr:colOff>449580</xdr:colOff>
                    <xdr:row>8</xdr:row>
                    <xdr:rowOff>30480</xdr:rowOff>
                  </from>
                  <to>
                    <xdr:col>39</xdr:col>
                    <xdr:colOff>373380</xdr:colOff>
                    <xdr:row>8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39</xdr:col>
                    <xdr:colOff>449580</xdr:colOff>
                    <xdr:row>8</xdr:row>
                    <xdr:rowOff>114300</xdr:rowOff>
                  </from>
                  <to>
                    <xdr:col>40</xdr:col>
                    <xdr:colOff>480060</xdr:colOff>
                    <xdr:row>8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40</xdr:col>
                    <xdr:colOff>449580</xdr:colOff>
                    <xdr:row>8</xdr:row>
                    <xdr:rowOff>76200</xdr:rowOff>
                  </from>
                  <to>
                    <xdr:col>41</xdr:col>
                    <xdr:colOff>487680</xdr:colOff>
                    <xdr:row>8</xdr:row>
                    <xdr:rowOff>464820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B0706007-45AB-4EB1-92B8-D12922D705FC}">
          <x14:formula1>
            <xm:f>入力補助!$C$2:$C$44</xm:f>
          </x14:formula1>
          <xm:sqref>D16:D64</xm:sqref>
        </x14:dataValidation>
        <x14:dataValidation type="list" allowBlank="1" showInputMessage="1" xr:uid="{98215EDB-F53D-4BC9-A7B5-3B69C23CD907}">
          <x14:formula1>
            <xm:f>入力補助!$B$2:$B$26</xm:f>
          </x14:formula1>
          <xm:sqref>C15:C64</xm:sqref>
        </x14:dataValidation>
        <x14:dataValidation type="list" allowBlank="1" showInputMessage="1" xr:uid="{711D41BB-85D0-4A87-AED6-55295EFF43CC}">
          <x14:formula1>
            <xm:f>入力補助!$B$49:$B$51</xm:f>
          </x14:formula1>
          <xm:sqref>R71:R75</xm:sqref>
        </x14:dataValidation>
        <x14:dataValidation type="list" allowBlank="1" showInputMessage="1" xr:uid="{7392EA8C-5CD0-447D-8F9D-85A148059050}">
          <x14:formula1>
            <xm:f>入力補助!$A$40:$A$44</xm:f>
          </x14:formula1>
          <xm:sqref>AM6:AN7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DCAFD-61ED-42BD-A17F-80B7F658EC83}">
  <dimension ref="B3:B11"/>
  <sheetViews>
    <sheetView showGridLines="0" view="pageBreakPreview" zoomScale="142" zoomScaleNormal="100" zoomScaleSheetLayoutView="142" workbookViewId="0">
      <selection activeCell="C12" sqref="C12"/>
    </sheetView>
  </sheetViews>
  <sheetFormatPr defaultRowHeight="18"/>
  <sheetData>
    <row r="3" spans="2:2">
      <c r="B3" t="s">
        <v>397</v>
      </c>
    </row>
    <row r="4" spans="2:2" ht="9.75" customHeight="1"/>
    <row r="5" spans="2:2">
      <c r="B5" t="s">
        <v>398</v>
      </c>
    </row>
    <row r="6" spans="2:2">
      <c r="B6" t="s">
        <v>399</v>
      </c>
    </row>
    <row r="7" spans="2:2" ht="10.5" customHeight="1"/>
    <row r="8" spans="2:2">
      <c r="B8" t="s">
        <v>400</v>
      </c>
    </row>
    <row r="9" spans="2:2">
      <c r="B9" t="s">
        <v>401</v>
      </c>
    </row>
    <row r="10" spans="2:2">
      <c r="B10" t="s">
        <v>402</v>
      </c>
    </row>
    <row r="11" spans="2:2">
      <c r="B11" t="s">
        <v>403</v>
      </c>
    </row>
  </sheetData>
  <sheetProtection algorithmName="SHA-512" hashValue="nDorbdaMZo7L2Gl/WZWyIiGk1sWNayvxIVlY4F6a+irzbP65cJ+ZSGQrPem8lCPRvvxEZmh2BHwH8KBVKSu/Wg==" saltValue="793uMm4baTRWfvBJbklo6Q==" spinCount="100000" sheet="1" objects="1" scenarios="1"/>
  <phoneticPr fontId="1"/>
  <pageMargins left="0.7" right="0.7" top="0.75" bottom="0.75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A47D1-B03E-47E5-8157-652F408E09D6}">
  <sheetPr codeName="Sheet2">
    <pageSetUpPr fitToPage="1"/>
  </sheetPr>
  <dimension ref="A1:AB94"/>
  <sheetViews>
    <sheetView zoomScale="70" zoomScaleNormal="70" workbookViewId="0">
      <selection activeCell="V84" sqref="V84"/>
    </sheetView>
  </sheetViews>
  <sheetFormatPr defaultRowHeight="18"/>
  <cols>
    <col min="3" max="3" width="17.3984375" customWidth="1"/>
    <col min="19" max="19" width="15.8984375" style="1" customWidth="1"/>
    <col min="20" max="20" width="6.8984375" style="1" customWidth="1"/>
    <col min="21" max="21" width="8.59765625" style="1"/>
    <col min="22" max="22" width="4.8984375" style="14" customWidth="1"/>
  </cols>
  <sheetData>
    <row r="1" spans="2:28" ht="18.600000000000001" thickBot="1">
      <c r="C1" s="4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328"/>
      <c r="U1" s="460"/>
      <c r="V1" s="460"/>
      <c r="X1" s="240"/>
      <c r="Y1" s="240"/>
      <c r="Z1" s="240"/>
      <c r="AA1" s="240"/>
      <c r="AB1" s="240"/>
    </row>
    <row r="2" spans="2:28" ht="18.600000000000001" thickBot="1">
      <c r="B2" t="s">
        <v>20</v>
      </c>
      <c r="C2" s="3" t="s">
        <v>60</v>
      </c>
      <c r="D2" s="335" t="s">
        <v>76</v>
      </c>
      <c r="E2" s="336" t="s">
        <v>76</v>
      </c>
      <c r="F2" s="336" t="s">
        <v>76</v>
      </c>
      <c r="G2" s="336" t="s">
        <v>76</v>
      </c>
      <c r="H2" s="336" t="s">
        <v>76</v>
      </c>
      <c r="I2" s="336" t="s">
        <v>76</v>
      </c>
      <c r="J2" s="336" t="s">
        <v>76</v>
      </c>
      <c r="K2" s="336" t="s">
        <v>76</v>
      </c>
      <c r="L2" s="336" t="s">
        <v>76</v>
      </c>
      <c r="M2" s="337" t="s">
        <v>76</v>
      </c>
      <c r="N2" s="337" t="s">
        <v>76</v>
      </c>
      <c r="O2" s="338" t="s">
        <v>76</v>
      </c>
      <c r="P2" t="s">
        <v>130</v>
      </c>
      <c r="Q2" s="264" t="s">
        <v>337</v>
      </c>
      <c r="R2" s="264" t="s">
        <v>338</v>
      </c>
      <c r="S2" s="25" t="s">
        <v>133</v>
      </c>
      <c r="T2" s="26" t="s">
        <v>2</v>
      </c>
      <c r="U2" s="26" t="s">
        <v>195</v>
      </c>
      <c r="V2" s="27" t="s">
        <v>132</v>
      </c>
      <c r="X2" s="241" t="s">
        <v>174</v>
      </c>
      <c r="Y2" s="257" t="s">
        <v>2</v>
      </c>
      <c r="Z2" s="265" t="s">
        <v>196</v>
      </c>
      <c r="AA2" s="242" t="s">
        <v>165</v>
      </c>
      <c r="AB2" s="243" t="s">
        <v>173</v>
      </c>
    </row>
    <row r="3" spans="2:28" ht="18.600000000000001" thickTop="1">
      <c r="B3" t="s">
        <v>21</v>
      </c>
      <c r="C3" s="3" t="s">
        <v>348</v>
      </c>
      <c r="D3" s="332">
        <v>13</v>
      </c>
      <c r="E3" s="333">
        <v>16</v>
      </c>
      <c r="F3" s="333">
        <v>20</v>
      </c>
      <c r="G3" s="333">
        <v>25</v>
      </c>
      <c r="H3" s="333">
        <v>30</v>
      </c>
      <c r="I3" s="333">
        <v>40</v>
      </c>
      <c r="J3" s="333">
        <v>50</v>
      </c>
      <c r="K3" s="9" t="s">
        <v>406</v>
      </c>
      <c r="L3" s="9" t="s">
        <v>75</v>
      </c>
      <c r="M3" s="326" t="s">
        <v>75</v>
      </c>
      <c r="N3" s="326" t="s">
        <v>75</v>
      </c>
      <c r="O3" s="10" t="s">
        <v>75</v>
      </c>
      <c r="P3" s="11" t="s">
        <v>349</v>
      </c>
      <c r="Q3" s="334" t="s">
        <v>194</v>
      </c>
      <c r="R3" s="334" t="s">
        <v>194</v>
      </c>
      <c r="S3" s="22" t="s">
        <v>46</v>
      </c>
      <c r="T3" s="437">
        <v>50</v>
      </c>
      <c r="U3" s="23" t="s">
        <v>229</v>
      </c>
      <c r="V3" s="24">
        <v>1</v>
      </c>
      <c r="X3" s="244"/>
      <c r="Y3" s="258">
        <v>13</v>
      </c>
      <c r="Z3" s="263" t="s">
        <v>183</v>
      </c>
      <c r="AA3" s="245">
        <v>13</v>
      </c>
      <c r="AB3" s="246">
        <f>((AA3/1000)^2*PI()/4)</f>
        <v>1.3273228961416874E-4</v>
      </c>
    </row>
    <row r="4" spans="2:28">
      <c r="B4" t="s">
        <v>22</v>
      </c>
      <c r="C4" s="3" t="s">
        <v>45</v>
      </c>
      <c r="D4" s="8">
        <v>20</v>
      </c>
      <c r="E4" s="9">
        <v>25</v>
      </c>
      <c r="F4" s="9">
        <v>30</v>
      </c>
      <c r="G4" s="9">
        <v>40</v>
      </c>
      <c r="H4" s="9">
        <v>50</v>
      </c>
      <c r="I4" s="9" t="s">
        <v>76</v>
      </c>
      <c r="J4" s="9" t="s">
        <v>75</v>
      </c>
      <c r="K4" s="9" t="s">
        <v>75</v>
      </c>
      <c r="L4" s="9" t="s">
        <v>75</v>
      </c>
      <c r="M4" s="326" t="s">
        <v>75</v>
      </c>
      <c r="N4" s="326" t="s">
        <v>75</v>
      </c>
      <c r="O4" s="10" t="s">
        <v>75</v>
      </c>
      <c r="P4" s="11" t="s">
        <v>90</v>
      </c>
      <c r="Q4" s="11"/>
      <c r="R4" s="11"/>
      <c r="S4" s="16" t="s">
        <v>47</v>
      </c>
      <c r="T4" s="340">
        <v>13</v>
      </c>
      <c r="U4" s="15" t="s">
        <v>230</v>
      </c>
      <c r="V4" s="17">
        <v>0.5</v>
      </c>
      <c r="X4" s="247"/>
      <c r="Y4" s="259">
        <v>16</v>
      </c>
      <c r="Z4" s="263" t="s">
        <v>184</v>
      </c>
      <c r="AA4" s="248">
        <v>16</v>
      </c>
      <c r="AB4" s="249">
        <f t="shared" ref="AB4:AB78" si="0">((AA4/1000)^2*PI()/4)</f>
        <v>2.0106192982974675E-4</v>
      </c>
    </row>
    <row r="5" spans="2:28">
      <c r="B5" t="s">
        <v>23</v>
      </c>
      <c r="C5" s="3" t="s">
        <v>46</v>
      </c>
      <c r="D5" s="8">
        <v>50</v>
      </c>
      <c r="E5" s="9">
        <v>75</v>
      </c>
      <c r="F5" s="9">
        <v>100</v>
      </c>
      <c r="G5" s="9">
        <v>150</v>
      </c>
      <c r="H5" s="9">
        <v>200</v>
      </c>
      <c r="I5" s="9"/>
      <c r="J5" s="9"/>
      <c r="K5" s="9"/>
      <c r="L5" s="9" t="s">
        <v>75</v>
      </c>
      <c r="M5" s="326" t="s">
        <v>75</v>
      </c>
      <c r="N5" s="326" t="s">
        <v>75</v>
      </c>
      <c r="O5" s="10" t="s">
        <v>75</v>
      </c>
      <c r="P5" s="11" t="s">
        <v>91</v>
      </c>
      <c r="Q5" s="11" t="s">
        <v>194</v>
      </c>
      <c r="R5" s="11" t="s">
        <v>194</v>
      </c>
      <c r="S5" s="16" t="s">
        <v>47</v>
      </c>
      <c r="T5" s="340">
        <v>16</v>
      </c>
      <c r="U5" s="15" t="s">
        <v>231</v>
      </c>
      <c r="V5" s="17">
        <v>0.5</v>
      </c>
      <c r="X5" s="247"/>
      <c r="Y5" s="259">
        <v>20</v>
      </c>
      <c r="Z5" s="263" t="s">
        <v>185</v>
      </c>
      <c r="AA5" s="248">
        <v>20</v>
      </c>
      <c r="AB5" s="249">
        <f t="shared" si="0"/>
        <v>3.1415926535897931E-4</v>
      </c>
    </row>
    <row r="6" spans="2:28">
      <c r="B6" t="s">
        <v>24</v>
      </c>
      <c r="C6" s="3" t="s">
        <v>47</v>
      </c>
      <c r="D6" s="8">
        <v>13</v>
      </c>
      <c r="E6" s="9">
        <v>16</v>
      </c>
      <c r="F6" s="9">
        <v>20</v>
      </c>
      <c r="G6" s="9">
        <v>25</v>
      </c>
      <c r="H6" s="9">
        <v>30</v>
      </c>
      <c r="I6" s="9">
        <v>40</v>
      </c>
      <c r="J6" s="9">
        <v>50</v>
      </c>
      <c r="K6" s="9" t="s">
        <v>75</v>
      </c>
      <c r="L6" s="9" t="s">
        <v>75</v>
      </c>
      <c r="M6" s="326" t="s">
        <v>75</v>
      </c>
      <c r="N6" s="326" t="s">
        <v>75</v>
      </c>
      <c r="O6" s="10" t="s">
        <v>75</v>
      </c>
      <c r="P6" s="11" t="s">
        <v>92</v>
      </c>
      <c r="Q6" s="11" t="s">
        <v>194</v>
      </c>
      <c r="R6" s="11" t="s">
        <v>194</v>
      </c>
      <c r="S6" s="16" t="s">
        <v>47</v>
      </c>
      <c r="T6" s="340">
        <v>20</v>
      </c>
      <c r="U6" s="15" t="s">
        <v>232</v>
      </c>
      <c r="V6" s="17">
        <v>0.5</v>
      </c>
      <c r="X6" s="247"/>
      <c r="Y6" s="259">
        <v>25</v>
      </c>
      <c r="Z6" s="263" t="s">
        <v>186</v>
      </c>
      <c r="AA6" s="248">
        <v>25</v>
      </c>
      <c r="AB6" s="249">
        <f t="shared" si="0"/>
        <v>4.9087385212340522E-4</v>
      </c>
    </row>
    <row r="7" spans="2:28">
      <c r="B7" t="s">
        <v>25</v>
      </c>
      <c r="C7" s="3" t="s">
        <v>56</v>
      </c>
      <c r="D7" s="8">
        <v>13</v>
      </c>
      <c r="E7" s="9">
        <v>20</v>
      </c>
      <c r="F7" s="9">
        <v>25</v>
      </c>
      <c r="G7" s="9">
        <v>30</v>
      </c>
      <c r="H7" s="9">
        <v>40</v>
      </c>
      <c r="I7" s="9">
        <v>50</v>
      </c>
      <c r="J7" s="9" t="s">
        <v>76</v>
      </c>
      <c r="K7" s="9" t="s">
        <v>75</v>
      </c>
      <c r="L7" s="9" t="s">
        <v>75</v>
      </c>
      <c r="M7" s="326" t="s">
        <v>75</v>
      </c>
      <c r="N7" s="326" t="s">
        <v>75</v>
      </c>
      <c r="O7" s="10" t="s">
        <v>75</v>
      </c>
      <c r="P7" s="11" t="s">
        <v>93</v>
      </c>
      <c r="Q7" s="11" t="s">
        <v>194</v>
      </c>
      <c r="R7" s="11" t="s">
        <v>194</v>
      </c>
      <c r="S7" s="16" t="s">
        <v>47</v>
      </c>
      <c r="T7" s="340">
        <v>25</v>
      </c>
      <c r="U7" s="15" t="s">
        <v>233</v>
      </c>
      <c r="V7" s="17">
        <v>0.5</v>
      </c>
      <c r="X7" s="247"/>
      <c r="Y7" s="259">
        <v>30</v>
      </c>
      <c r="Z7" s="263" t="s">
        <v>187</v>
      </c>
      <c r="AA7" s="248">
        <v>30</v>
      </c>
      <c r="AB7" s="249">
        <f t="shared" si="0"/>
        <v>7.0685834705770342E-4</v>
      </c>
    </row>
    <row r="8" spans="2:28">
      <c r="B8" t="s">
        <v>28</v>
      </c>
      <c r="C8" s="3" t="s">
        <v>48</v>
      </c>
      <c r="D8" s="8">
        <v>13</v>
      </c>
      <c r="E8" s="9">
        <v>16</v>
      </c>
      <c r="F8" s="9">
        <v>20</v>
      </c>
      <c r="G8" s="9">
        <v>25</v>
      </c>
      <c r="H8" s="9">
        <v>30</v>
      </c>
      <c r="I8" s="9">
        <v>40</v>
      </c>
      <c r="J8" s="9">
        <v>50</v>
      </c>
      <c r="K8" s="9" t="s">
        <v>75</v>
      </c>
      <c r="L8" s="9" t="s">
        <v>75</v>
      </c>
      <c r="M8" s="326" t="s">
        <v>75</v>
      </c>
      <c r="N8" s="326" t="s">
        <v>75</v>
      </c>
      <c r="O8" s="10" t="s">
        <v>75</v>
      </c>
      <c r="P8" s="11" t="s">
        <v>94</v>
      </c>
      <c r="Q8" s="11" t="s">
        <v>194</v>
      </c>
      <c r="R8" s="11" t="s">
        <v>194</v>
      </c>
      <c r="S8" s="16" t="s">
        <v>47</v>
      </c>
      <c r="T8" s="340">
        <v>30</v>
      </c>
      <c r="U8" s="15" t="s">
        <v>234</v>
      </c>
      <c r="V8" s="17">
        <v>1</v>
      </c>
      <c r="X8" s="247"/>
      <c r="Y8" s="259">
        <v>40</v>
      </c>
      <c r="Z8" s="263" t="s">
        <v>188</v>
      </c>
      <c r="AA8" s="248">
        <v>40</v>
      </c>
      <c r="AB8" s="249">
        <f t="shared" si="0"/>
        <v>1.2566370614359172E-3</v>
      </c>
    </row>
    <row r="9" spans="2:28">
      <c r="B9" t="s">
        <v>26</v>
      </c>
      <c r="C9" s="3" t="s">
        <v>134</v>
      </c>
      <c r="D9" s="8">
        <v>13</v>
      </c>
      <c r="E9" s="9">
        <v>16</v>
      </c>
      <c r="F9" s="9">
        <v>20</v>
      </c>
      <c r="G9" s="9">
        <v>25</v>
      </c>
      <c r="H9" s="9">
        <v>30</v>
      </c>
      <c r="I9" s="9">
        <v>40</v>
      </c>
      <c r="J9" s="9">
        <v>50</v>
      </c>
      <c r="K9" s="9" t="s">
        <v>75</v>
      </c>
      <c r="L9" s="9" t="s">
        <v>75</v>
      </c>
      <c r="M9" s="326" t="s">
        <v>75</v>
      </c>
      <c r="N9" s="326" t="s">
        <v>75</v>
      </c>
      <c r="O9" s="10" t="s">
        <v>75</v>
      </c>
      <c r="P9" s="11" t="s">
        <v>95</v>
      </c>
      <c r="Q9" s="11" t="s">
        <v>194</v>
      </c>
      <c r="R9" s="11" t="s">
        <v>194</v>
      </c>
      <c r="S9" s="16" t="s">
        <v>47</v>
      </c>
      <c r="T9" s="340">
        <v>40</v>
      </c>
      <c r="U9" s="15" t="s">
        <v>235</v>
      </c>
      <c r="V9" s="17">
        <v>1</v>
      </c>
      <c r="X9" s="247"/>
      <c r="Y9" s="259">
        <v>50</v>
      </c>
      <c r="Z9" s="263" t="s">
        <v>189</v>
      </c>
      <c r="AA9" s="248">
        <v>50</v>
      </c>
      <c r="AB9" s="249">
        <f t="shared" si="0"/>
        <v>1.9634954084936209E-3</v>
      </c>
    </row>
    <row r="10" spans="2:28">
      <c r="B10" t="s">
        <v>27</v>
      </c>
      <c r="C10" s="3" t="s">
        <v>87</v>
      </c>
      <c r="D10" s="8">
        <v>13</v>
      </c>
      <c r="E10" s="9">
        <v>20</v>
      </c>
      <c r="F10" s="9">
        <v>25</v>
      </c>
      <c r="G10" s="9">
        <v>30</v>
      </c>
      <c r="H10" s="9">
        <v>40</v>
      </c>
      <c r="I10" s="9">
        <v>50</v>
      </c>
      <c r="J10" s="9">
        <v>65</v>
      </c>
      <c r="K10" s="9">
        <v>75</v>
      </c>
      <c r="L10" s="9">
        <v>100</v>
      </c>
      <c r="M10" s="326" t="s">
        <v>75</v>
      </c>
      <c r="N10" s="326" t="s">
        <v>75</v>
      </c>
      <c r="O10" s="10" t="s">
        <v>75</v>
      </c>
      <c r="P10" s="11" t="s">
        <v>96</v>
      </c>
      <c r="Q10" s="11" t="s">
        <v>194</v>
      </c>
      <c r="R10" s="11" t="s">
        <v>194</v>
      </c>
      <c r="S10" s="16" t="s">
        <v>47</v>
      </c>
      <c r="T10" s="340">
        <v>50</v>
      </c>
      <c r="U10" s="15" t="s">
        <v>236</v>
      </c>
      <c r="V10" s="17">
        <v>1</v>
      </c>
      <c r="X10" s="250"/>
      <c r="Y10" s="260">
        <v>65</v>
      </c>
      <c r="Z10" s="263" t="s">
        <v>190</v>
      </c>
      <c r="AA10" s="251">
        <v>65</v>
      </c>
      <c r="AB10" s="249">
        <f t="shared" si="0"/>
        <v>3.3183072403542195E-3</v>
      </c>
    </row>
    <row r="11" spans="2:28">
      <c r="B11" t="s">
        <v>29</v>
      </c>
      <c r="C11" s="3" t="s">
        <v>57</v>
      </c>
      <c r="D11" s="8">
        <v>13</v>
      </c>
      <c r="E11" s="9">
        <v>20</v>
      </c>
      <c r="F11" s="9">
        <v>25</v>
      </c>
      <c r="G11" s="9">
        <v>40</v>
      </c>
      <c r="H11" s="9">
        <v>50</v>
      </c>
      <c r="I11" s="9">
        <v>75</v>
      </c>
      <c r="J11" s="9">
        <v>100</v>
      </c>
      <c r="K11" s="9">
        <v>150</v>
      </c>
      <c r="L11" s="9">
        <v>200</v>
      </c>
      <c r="M11" s="326" t="s">
        <v>75</v>
      </c>
      <c r="N11" s="326" t="s">
        <v>75</v>
      </c>
      <c r="O11" s="10" t="s">
        <v>75</v>
      </c>
      <c r="P11" s="11" t="s">
        <v>97</v>
      </c>
      <c r="Q11" s="11" t="s">
        <v>194</v>
      </c>
      <c r="R11" s="11" t="s">
        <v>194</v>
      </c>
      <c r="S11" s="18" t="s">
        <v>48</v>
      </c>
      <c r="T11" s="340">
        <v>13</v>
      </c>
      <c r="U11" s="331" t="s">
        <v>343</v>
      </c>
      <c r="V11" s="17">
        <v>3</v>
      </c>
      <c r="X11" s="247"/>
      <c r="Y11" s="259">
        <v>75</v>
      </c>
      <c r="Z11" s="263" t="s">
        <v>191</v>
      </c>
      <c r="AA11" s="248">
        <v>75</v>
      </c>
      <c r="AB11" s="249">
        <f t="shared" si="0"/>
        <v>4.4178646691106467E-3</v>
      </c>
    </row>
    <row r="12" spans="2:28">
      <c r="B12" t="s">
        <v>30</v>
      </c>
      <c r="C12" s="3" t="s">
        <v>58</v>
      </c>
      <c r="D12" s="8">
        <v>13</v>
      </c>
      <c r="E12" s="9">
        <v>20</v>
      </c>
      <c r="F12" s="9">
        <v>25</v>
      </c>
      <c r="G12" s="9">
        <v>40</v>
      </c>
      <c r="H12" s="9" t="s">
        <v>75</v>
      </c>
      <c r="I12" s="9" t="s">
        <v>75</v>
      </c>
      <c r="J12" s="9" t="s">
        <v>75</v>
      </c>
      <c r="K12" s="9" t="s">
        <v>75</v>
      </c>
      <c r="L12" s="9" t="s">
        <v>75</v>
      </c>
      <c r="M12" s="326" t="s">
        <v>75</v>
      </c>
      <c r="N12" s="326" t="s">
        <v>75</v>
      </c>
      <c r="O12" s="10" t="s">
        <v>75</v>
      </c>
      <c r="P12" s="11" t="s">
        <v>98</v>
      </c>
      <c r="Q12" s="11"/>
      <c r="R12" s="11"/>
      <c r="S12" s="18" t="s">
        <v>48</v>
      </c>
      <c r="T12" s="340">
        <v>16</v>
      </c>
      <c r="U12" s="331" t="s">
        <v>344</v>
      </c>
      <c r="V12" s="17">
        <v>4</v>
      </c>
      <c r="X12" s="247"/>
      <c r="Y12" s="259">
        <v>80</v>
      </c>
      <c r="Z12" s="263" t="s">
        <v>192</v>
      </c>
      <c r="AA12" s="248">
        <v>80</v>
      </c>
      <c r="AB12" s="249">
        <f t="shared" si="0"/>
        <v>5.0265482457436689E-3</v>
      </c>
    </row>
    <row r="13" spans="2:28">
      <c r="B13" t="s">
        <v>31</v>
      </c>
      <c r="C13" s="3" t="s">
        <v>59</v>
      </c>
      <c r="D13" s="8">
        <v>13</v>
      </c>
      <c r="E13" s="9">
        <v>20</v>
      </c>
      <c r="F13" s="9">
        <v>25</v>
      </c>
      <c r="G13" s="9" t="s">
        <v>75</v>
      </c>
      <c r="H13" s="9" t="s">
        <v>75</v>
      </c>
      <c r="I13" s="9" t="s">
        <v>75</v>
      </c>
      <c r="J13" s="9" t="s">
        <v>75</v>
      </c>
      <c r="K13" s="9" t="s">
        <v>75</v>
      </c>
      <c r="L13" s="9" t="s">
        <v>75</v>
      </c>
      <c r="M13" s="326" t="s">
        <v>75</v>
      </c>
      <c r="N13" s="326" t="s">
        <v>75</v>
      </c>
      <c r="O13" s="10" t="s">
        <v>75</v>
      </c>
      <c r="P13" s="11" t="s">
        <v>99</v>
      </c>
      <c r="Q13" s="11"/>
      <c r="R13" s="11"/>
      <c r="S13" s="18" t="s">
        <v>48</v>
      </c>
      <c r="T13" s="340">
        <v>30</v>
      </c>
      <c r="U13" s="331" t="s">
        <v>345</v>
      </c>
      <c r="V13" s="17">
        <v>15</v>
      </c>
      <c r="X13" s="247"/>
      <c r="Y13" s="259">
        <v>100</v>
      </c>
      <c r="Z13" s="263" t="s">
        <v>193</v>
      </c>
      <c r="AA13" s="248">
        <v>100</v>
      </c>
      <c r="AB13" s="249">
        <f t="shared" si="0"/>
        <v>7.8539816339744835E-3</v>
      </c>
    </row>
    <row r="14" spans="2:28">
      <c r="B14" t="s">
        <v>32</v>
      </c>
      <c r="C14" s="3" t="s">
        <v>49</v>
      </c>
      <c r="D14" s="8">
        <v>20</v>
      </c>
      <c r="E14" s="9">
        <v>25</v>
      </c>
      <c r="F14" s="9" t="s">
        <v>75</v>
      </c>
      <c r="G14" s="9" t="s">
        <v>75</v>
      </c>
      <c r="H14" s="9" t="s">
        <v>75</v>
      </c>
      <c r="I14" s="9" t="s">
        <v>75</v>
      </c>
      <c r="J14" s="9" t="s">
        <v>75</v>
      </c>
      <c r="K14" s="9" t="s">
        <v>75</v>
      </c>
      <c r="L14" s="9" t="s">
        <v>75</v>
      </c>
      <c r="M14" s="326" t="s">
        <v>75</v>
      </c>
      <c r="N14" s="326" t="s">
        <v>75</v>
      </c>
      <c r="O14" s="10" t="s">
        <v>75</v>
      </c>
      <c r="P14" s="11" t="s">
        <v>100</v>
      </c>
      <c r="Q14" s="11"/>
      <c r="R14" s="11"/>
      <c r="S14" s="18" t="s">
        <v>48</v>
      </c>
      <c r="T14" s="340">
        <v>40</v>
      </c>
      <c r="U14" s="331" t="s">
        <v>346</v>
      </c>
      <c r="V14" s="17">
        <v>17</v>
      </c>
      <c r="X14" s="247"/>
      <c r="Y14" s="259">
        <v>150</v>
      </c>
      <c r="Z14" s="263" t="s">
        <v>210</v>
      </c>
      <c r="AA14" s="248">
        <v>150</v>
      </c>
      <c r="AB14" s="249">
        <f t="shared" si="0"/>
        <v>1.7671458676442587E-2</v>
      </c>
    </row>
    <row r="15" spans="2:28">
      <c r="B15" t="s">
        <v>33</v>
      </c>
      <c r="C15" s="3" t="s">
        <v>50</v>
      </c>
      <c r="D15" s="8">
        <v>13</v>
      </c>
      <c r="E15" s="9" t="s">
        <v>75</v>
      </c>
      <c r="F15" s="9" t="s">
        <v>75</v>
      </c>
      <c r="G15" s="9" t="s">
        <v>75</v>
      </c>
      <c r="H15" s="9" t="s">
        <v>75</v>
      </c>
      <c r="I15" s="9" t="s">
        <v>75</v>
      </c>
      <c r="J15" s="9" t="s">
        <v>75</v>
      </c>
      <c r="K15" s="9" t="s">
        <v>75</v>
      </c>
      <c r="L15" s="9" t="s">
        <v>75</v>
      </c>
      <c r="M15" s="326" t="s">
        <v>75</v>
      </c>
      <c r="N15" s="326" t="s">
        <v>75</v>
      </c>
      <c r="O15" s="10" t="s">
        <v>75</v>
      </c>
      <c r="P15" s="11" t="s">
        <v>101</v>
      </c>
      <c r="Q15" s="11"/>
      <c r="R15" s="11"/>
      <c r="S15" s="18" t="s">
        <v>48</v>
      </c>
      <c r="T15" s="340">
        <v>50</v>
      </c>
      <c r="U15" s="331" t="s">
        <v>347</v>
      </c>
      <c r="V15" s="17">
        <v>20</v>
      </c>
      <c r="X15" s="247"/>
      <c r="Y15" s="259">
        <v>200</v>
      </c>
      <c r="Z15" s="263" t="s">
        <v>211</v>
      </c>
      <c r="AA15" s="248">
        <v>200</v>
      </c>
      <c r="AB15" s="249">
        <f t="shared" si="0"/>
        <v>3.1415926535897934E-2</v>
      </c>
    </row>
    <row r="16" spans="2:28">
      <c r="B16" t="s">
        <v>34</v>
      </c>
      <c r="C16" s="3" t="s">
        <v>51</v>
      </c>
      <c r="D16" s="8">
        <v>13</v>
      </c>
      <c r="E16" s="9" t="s">
        <v>75</v>
      </c>
      <c r="F16" s="9" t="s">
        <v>75</v>
      </c>
      <c r="G16" s="9" t="s">
        <v>75</v>
      </c>
      <c r="H16" s="9" t="s">
        <v>75</v>
      </c>
      <c r="I16" s="9" t="s">
        <v>75</v>
      </c>
      <c r="J16" s="9" t="s">
        <v>75</v>
      </c>
      <c r="K16" s="9" t="s">
        <v>75</v>
      </c>
      <c r="L16" s="9" t="s">
        <v>75</v>
      </c>
      <c r="M16" s="326" t="s">
        <v>75</v>
      </c>
      <c r="N16" s="326" t="s">
        <v>75</v>
      </c>
      <c r="O16" s="10" t="s">
        <v>75</v>
      </c>
      <c r="P16" s="11" t="s">
        <v>102</v>
      </c>
      <c r="Q16" s="11"/>
      <c r="R16" s="11"/>
      <c r="S16" s="16" t="s">
        <v>134</v>
      </c>
      <c r="T16" s="340">
        <v>13</v>
      </c>
      <c r="U16" s="15" t="s">
        <v>237</v>
      </c>
      <c r="V16" s="17">
        <v>3</v>
      </c>
      <c r="X16" s="247" t="s">
        <v>182</v>
      </c>
      <c r="Y16" s="259">
        <v>200</v>
      </c>
      <c r="Z16" s="23" t="s">
        <v>283</v>
      </c>
      <c r="AA16" s="248">
        <v>200</v>
      </c>
      <c r="AB16" s="249">
        <f t="shared" si="0"/>
        <v>3.1415926535897934E-2</v>
      </c>
    </row>
    <row r="17" spans="2:28">
      <c r="B17" t="s">
        <v>35</v>
      </c>
      <c r="C17" s="3" t="s">
        <v>202</v>
      </c>
      <c r="D17" s="8">
        <v>20</v>
      </c>
      <c r="E17" s="9">
        <v>25</v>
      </c>
      <c r="F17" s="9" t="s">
        <v>75</v>
      </c>
      <c r="G17" s="9" t="s">
        <v>75</v>
      </c>
      <c r="H17" s="9" t="s">
        <v>75</v>
      </c>
      <c r="I17" s="9" t="s">
        <v>75</v>
      </c>
      <c r="J17" s="9" t="s">
        <v>75</v>
      </c>
      <c r="K17" s="9" t="s">
        <v>75</v>
      </c>
      <c r="L17" s="9" t="s">
        <v>75</v>
      </c>
      <c r="M17" s="326" t="s">
        <v>75</v>
      </c>
      <c r="N17" s="326" t="s">
        <v>75</v>
      </c>
      <c r="O17" s="10" t="s">
        <v>75</v>
      </c>
      <c r="P17" s="11" t="s">
        <v>103</v>
      </c>
      <c r="Q17" s="11"/>
      <c r="R17" s="11"/>
      <c r="S17" s="16" t="s">
        <v>134</v>
      </c>
      <c r="T17" s="340">
        <v>16</v>
      </c>
      <c r="U17" s="15" t="s">
        <v>238</v>
      </c>
      <c r="V17" s="17">
        <v>4</v>
      </c>
      <c r="X17" s="247" t="s">
        <v>182</v>
      </c>
      <c r="Y17" s="259">
        <v>150</v>
      </c>
      <c r="Z17" s="23" t="s">
        <v>284</v>
      </c>
      <c r="AA17" s="248">
        <v>150</v>
      </c>
      <c r="AB17" s="249">
        <f t="shared" si="0"/>
        <v>1.7671458676442587E-2</v>
      </c>
    </row>
    <row r="18" spans="2:28">
      <c r="B18" t="s">
        <v>36</v>
      </c>
      <c r="C18" s="3" t="s">
        <v>52</v>
      </c>
      <c r="D18" s="8">
        <v>13</v>
      </c>
      <c r="E18" s="9">
        <v>20</v>
      </c>
      <c r="F18" s="9" t="s">
        <v>75</v>
      </c>
      <c r="G18" s="9" t="s">
        <v>75</v>
      </c>
      <c r="H18" s="9" t="s">
        <v>75</v>
      </c>
      <c r="I18" s="9" t="s">
        <v>75</v>
      </c>
      <c r="J18" s="9" t="s">
        <v>75</v>
      </c>
      <c r="K18" s="9" t="s">
        <v>75</v>
      </c>
      <c r="L18" s="9" t="s">
        <v>75</v>
      </c>
      <c r="M18" s="326" t="s">
        <v>75</v>
      </c>
      <c r="N18" s="326" t="s">
        <v>75</v>
      </c>
      <c r="O18" s="10" t="s">
        <v>75</v>
      </c>
      <c r="P18" s="11" t="s">
        <v>104</v>
      </c>
      <c r="Q18" s="11"/>
      <c r="R18" s="11"/>
      <c r="S18" s="16" t="s">
        <v>134</v>
      </c>
      <c r="T18" s="340">
        <v>20</v>
      </c>
      <c r="U18" s="15" t="s">
        <v>239</v>
      </c>
      <c r="V18" s="17">
        <v>8</v>
      </c>
      <c r="X18" s="247" t="s">
        <v>182</v>
      </c>
      <c r="Y18" s="259">
        <v>100</v>
      </c>
      <c r="Z18" s="23" t="s">
        <v>285</v>
      </c>
      <c r="AA18" s="248">
        <v>100</v>
      </c>
      <c r="AB18" s="249">
        <f t="shared" si="0"/>
        <v>7.8539816339744835E-3</v>
      </c>
    </row>
    <row r="19" spans="2:28">
      <c r="B19" t="s">
        <v>37</v>
      </c>
      <c r="C19" s="3" t="s">
        <v>53</v>
      </c>
      <c r="D19" s="8">
        <v>13</v>
      </c>
      <c r="E19" s="9">
        <v>20</v>
      </c>
      <c r="F19" s="9">
        <v>25</v>
      </c>
      <c r="G19" s="9">
        <v>30</v>
      </c>
      <c r="H19" s="9">
        <v>40</v>
      </c>
      <c r="I19" s="9">
        <v>50</v>
      </c>
      <c r="J19" s="9">
        <v>75</v>
      </c>
      <c r="K19" s="9">
        <v>100</v>
      </c>
      <c r="L19" s="9">
        <v>150</v>
      </c>
      <c r="M19" s="326" t="s">
        <v>75</v>
      </c>
      <c r="N19" s="326" t="s">
        <v>75</v>
      </c>
      <c r="O19" s="10" t="s">
        <v>75</v>
      </c>
      <c r="P19" s="11" t="s">
        <v>105</v>
      </c>
      <c r="Q19" s="11" t="s">
        <v>194</v>
      </c>
      <c r="R19" s="11" t="s">
        <v>194</v>
      </c>
      <c r="S19" s="16" t="s">
        <v>134</v>
      </c>
      <c r="T19" s="340">
        <v>25</v>
      </c>
      <c r="U19" s="15" t="s">
        <v>240</v>
      </c>
      <c r="V19" s="17">
        <v>8</v>
      </c>
      <c r="X19" s="247" t="s">
        <v>182</v>
      </c>
      <c r="Y19" s="259">
        <v>75</v>
      </c>
      <c r="Z19" s="23" t="s">
        <v>286</v>
      </c>
      <c r="AA19" s="248">
        <v>75</v>
      </c>
      <c r="AB19" s="249">
        <f t="shared" si="0"/>
        <v>4.4178646691106467E-3</v>
      </c>
    </row>
    <row r="20" spans="2:28">
      <c r="B20" t="s">
        <v>38</v>
      </c>
      <c r="C20" s="3" t="s">
        <v>88</v>
      </c>
      <c r="D20" s="8">
        <v>13</v>
      </c>
      <c r="E20" s="9">
        <v>20</v>
      </c>
      <c r="F20" s="9">
        <v>25</v>
      </c>
      <c r="G20" s="9" t="s">
        <v>75</v>
      </c>
      <c r="H20" s="9" t="s">
        <v>75</v>
      </c>
      <c r="I20" s="9" t="s">
        <v>75</v>
      </c>
      <c r="J20" s="9" t="s">
        <v>75</v>
      </c>
      <c r="K20" s="9" t="s">
        <v>75</v>
      </c>
      <c r="L20" s="9" t="s">
        <v>75</v>
      </c>
      <c r="M20" s="326" t="s">
        <v>75</v>
      </c>
      <c r="N20" s="326" t="s">
        <v>75</v>
      </c>
      <c r="O20" s="10" t="s">
        <v>75</v>
      </c>
      <c r="P20" s="11" t="s">
        <v>106</v>
      </c>
      <c r="Q20" s="11" t="s">
        <v>194</v>
      </c>
      <c r="R20" s="11" t="s">
        <v>194</v>
      </c>
      <c r="S20" s="16" t="s">
        <v>134</v>
      </c>
      <c r="T20" s="340">
        <v>30</v>
      </c>
      <c r="U20" s="15" t="s">
        <v>241</v>
      </c>
      <c r="V20" s="17">
        <v>15</v>
      </c>
      <c r="X20" s="247" t="s">
        <v>175</v>
      </c>
      <c r="Y20" s="259">
        <v>13</v>
      </c>
      <c r="Z20" s="23" t="s">
        <v>287</v>
      </c>
      <c r="AA20" s="248">
        <v>13</v>
      </c>
      <c r="AB20" s="249">
        <f t="shared" si="0"/>
        <v>1.3273228961416874E-4</v>
      </c>
    </row>
    <row r="21" spans="2:28">
      <c r="B21" t="s">
        <v>39</v>
      </c>
      <c r="C21" s="3" t="s">
        <v>73</v>
      </c>
      <c r="D21" s="8">
        <v>13</v>
      </c>
      <c r="E21" s="9" t="s">
        <v>75</v>
      </c>
      <c r="F21" s="9" t="s">
        <v>75</v>
      </c>
      <c r="G21" s="9" t="s">
        <v>75</v>
      </c>
      <c r="H21" s="9" t="s">
        <v>75</v>
      </c>
      <c r="I21" s="9" t="s">
        <v>75</v>
      </c>
      <c r="J21" s="9" t="s">
        <v>75</v>
      </c>
      <c r="K21" s="9" t="s">
        <v>75</v>
      </c>
      <c r="L21" s="9" t="s">
        <v>75</v>
      </c>
      <c r="M21" s="326" t="s">
        <v>75</v>
      </c>
      <c r="N21" s="326" t="s">
        <v>75</v>
      </c>
      <c r="O21" s="10" t="s">
        <v>75</v>
      </c>
      <c r="P21" s="11" t="s">
        <v>107</v>
      </c>
      <c r="Q21" s="11"/>
      <c r="R21" s="11"/>
      <c r="S21" s="16" t="s">
        <v>134</v>
      </c>
      <c r="T21" s="340">
        <v>40</v>
      </c>
      <c r="U21" s="15" t="s">
        <v>242</v>
      </c>
      <c r="V21" s="17">
        <v>17</v>
      </c>
      <c r="X21" s="247" t="s">
        <v>175</v>
      </c>
      <c r="Y21" s="259">
        <v>16</v>
      </c>
      <c r="Z21" s="23" t="s">
        <v>288</v>
      </c>
      <c r="AA21" s="248">
        <v>14.46</v>
      </c>
      <c r="AB21" s="249">
        <f t="shared" si="0"/>
        <v>1.6422015862183393E-4</v>
      </c>
    </row>
    <row r="22" spans="2:28">
      <c r="B22" t="s">
        <v>40</v>
      </c>
      <c r="C22" s="3" t="s">
        <v>74</v>
      </c>
      <c r="D22" s="8">
        <v>13</v>
      </c>
      <c r="E22" s="9" t="s">
        <v>75</v>
      </c>
      <c r="F22" s="9" t="s">
        <v>75</v>
      </c>
      <c r="G22" s="9" t="s">
        <v>75</v>
      </c>
      <c r="H22" s="9" t="s">
        <v>75</v>
      </c>
      <c r="I22" s="9" t="s">
        <v>75</v>
      </c>
      <c r="J22" s="9" t="s">
        <v>75</v>
      </c>
      <c r="K22" s="9" t="s">
        <v>75</v>
      </c>
      <c r="L22" s="9" t="s">
        <v>75</v>
      </c>
      <c r="M22" s="326" t="s">
        <v>75</v>
      </c>
      <c r="N22" s="326" t="s">
        <v>75</v>
      </c>
      <c r="O22" s="10" t="s">
        <v>75</v>
      </c>
      <c r="P22" s="11" t="s">
        <v>108</v>
      </c>
      <c r="Q22" s="11"/>
      <c r="R22" s="11"/>
      <c r="S22" s="16" t="s">
        <v>134</v>
      </c>
      <c r="T22" s="340">
        <v>50</v>
      </c>
      <c r="U22" s="15" t="s">
        <v>243</v>
      </c>
      <c r="V22" s="17">
        <v>20</v>
      </c>
      <c r="X22" s="247" t="s">
        <v>175</v>
      </c>
      <c r="Y22" s="259">
        <v>20</v>
      </c>
      <c r="Z22" s="23" t="s">
        <v>289</v>
      </c>
      <c r="AA22" s="248">
        <v>20.6</v>
      </c>
      <c r="AB22" s="249">
        <f t="shared" si="0"/>
        <v>3.3329156461934118E-4</v>
      </c>
    </row>
    <row r="23" spans="2:28">
      <c r="B23" t="s">
        <v>41</v>
      </c>
      <c r="C23" s="3" t="s">
        <v>54</v>
      </c>
      <c r="D23" s="8">
        <v>13</v>
      </c>
      <c r="E23" s="9">
        <v>25</v>
      </c>
      <c r="F23" s="9" t="s">
        <v>75</v>
      </c>
      <c r="G23" s="9" t="s">
        <v>75</v>
      </c>
      <c r="H23" s="9" t="s">
        <v>75</v>
      </c>
      <c r="I23" s="9" t="s">
        <v>75</v>
      </c>
      <c r="J23" s="9" t="s">
        <v>75</v>
      </c>
      <c r="K23" s="9" t="s">
        <v>75</v>
      </c>
      <c r="L23" s="9" t="s">
        <v>75</v>
      </c>
      <c r="M23" s="326" t="s">
        <v>75</v>
      </c>
      <c r="N23" s="326" t="s">
        <v>75</v>
      </c>
      <c r="O23" s="10" t="s">
        <v>75</v>
      </c>
      <c r="P23" s="11" t="s">
        <v>109</v>
      </c>
      <c r="Q23" s="11" t="s">
        <v>194</v>
      </c>
      <c r="R23" s="11" t="s">
        <v>194</v>
      </c>
      <c r="S23" s="18" t="s">
        <v>205</v>
      </c>
      <c r="T23" s="340">
        <v>16</v>
      </c>
      <c r="U23" s="15" t="s">
        <v>244</v>
      </c>
      <c r="V23" s="17">
        <v>1.2</v>
      </c>
      <c r="X23" s="247" t="s">
        <v>175</v>
      </c>
      <c r="Y23" s="259">
        <v>25</v>
      </c>
      <c r="Z23" s="23" t="s">
        <v>290</v>
      </c>
      <c r="AA23" s="248">
        <v>26.8</v>
      </c>
      <c r="AB23" s="249">
        <f t="shared" si="0"/>
        <v>5.6410437687858331E-4</v>
      </c>
    </row>
    <row r="24" spans="2:28">
      <c r="B24" t="s">
        <v>42</v>
      </c>
      <c r="C24" s="3" t="s">
        <v>203</v>
      </c>
      <c r="D24" s="8">
        <v>20</v>
      </c>
      <c r="E24" s="9" t="s">
        <v>75</v>
      </c>
      <c r="F24" s="9" t="s">
        <v>75</v>
      </c>
      <c r="G24" s="9" t="s">
        <v>75</v>
      </c>
      <c r="H24" s="9" t="s">
        <v>75</v>
      </c>
      <c r="I24" s="9" t="s">
        <v>75</v>
      </c>
      <c r="J24" s="9" t="s">
        <v>75</v>
      </c>
      <c r="K24" s="9" t="s">
        <v>75</v>
      </c>
      <c r="L24" s="9" t="s">
        <v>75</v>
      </c>
      <c r="M24" s="326" t="s">
        <v>75</v>
      </c>
      <c r="N24" s="326" t="s">
        <v>75</v>
      </c>
      <c r="O24" s="10" t="s">
        <v>75</v>
      </c>
      <c r="P24" s="11" t="s">
        <v>110</v>
      </c>
      <c r="Q24" s="11"/>
      <c r="R24" s="11"/>
      <c r="S24" s="18" t="s">
        <v>205</v>
      </c>
      <c r="T24" s="340">
        <v>20</v>
      </c>
      <c r="U24" s="15" t="s">
        <v>245</v>
      </c>
      <c r="V24" s="17">
        <v>1.6</v>
      </c>
      <c r="X24" s="247" t="s">
        <v>175</v>
      </c>
      <c r="Y24" s="259">
        <v>30</v>
      </c>
      <c r="Z24" s="23" t="str">
        <f>VLOOKUP(X24,$C$2:$Q$43,15,FALSE)&amp;IF(LEN(Y24)=3,Y24,0&amp;Y24)</f>
        <v>038030</v>
      </c>
      <c r="AA24" s="248">
        <v>30</v>
      </c>
      <c r="AB24" s="249">
        <f t="shared" si="0"/>
        <v>7.0685834705770342E-4</v>
      </c>
    </row>
    <row r="25" spans="2:28">
      <c r="B25" t="s">
        <v>43</v>
      </c>
      <c r="C25" s="3" t="s">
        <v>204</v>
      </c>
      <c r="D25" s="8">
        <v>20</v>
      </c>
      <c r="E25" s="9" t="s">
        <v>75</v>
      </c>
      <c r="F25" s="9" t="s">
        <v>75</v>
      </c>
      <c r="G25" s="9" t="s">
        <v>75</v>
      </c>
      <c r="H25" s="9" t="s">
        <v>75</v>
      </c>
      <c r="I25" s="9" t="s">
        <v>75</v>
      </c>
      <c r="J25" s="9" t="s">
        <v>75</v>
      </c>
      <c r="K25" s="9" t="s">
        <v>75</v>
      </c>
      <c r="L25" s="9" t="s">
        <v>75</v>
      </c>
      <c r="M25" s="326" t="s">
        <v>75</v>
      </c>
      <c r="N25" s="326" t="s">
        <v>75</v>
      </c>
      <c r="O25" s="10" t="s">
        <v>75</v>
      </c>
      <c r="P25" s="11" t="s">
        <v>111</v>
      </c>
      <c r="Q25" s="11"/>
      <c r="R25" s="11"/>
      <c r="S25" s="18" t="s">
        <v>205</v>
      </c>
      <c r="T25" s="340">
        <v>25</v>
      </c>
      <c r="U25" s="15" t="s">
        <v>246</v>
      </c>
      <c r="V25" s="17">
        <v>2</v>
      </c>
      <c r="X25" s="247" t="s">
        <v>175</v>
      </c>
      <c r="Y25" s="259">
        <v>40</v>
      </c>
      <c r="Z25" s="23" t="str">
        <f>VLOOKUP(X25,$C$2:$Q$43,15,FALSE)&amp;IF(LEN(Y25)=3,Y25,0&amp;Y25)</f>
        <v>038040</v>
      </c>
      <c r="AA25" s="248">
        <v>40</v>
      </c>
      <c r="AB25" s="249">
        <f t="shared" si="0"/>
        <v>1.2566370614359172E-3</v>
      </c>
    </row>
    <row r="26" spans="2:28">
      <c r="B26" t="s">
        <v>44</v>
      </c>
      <c r="C26" s="3" t="s">
        <v>205</v>
      </c>
      <c r="D26" s="8">
        <v>16</v>
      </c>
      <c r="E26" s="9">
        <v>20</v>
      </c>
      <c r="F26" s="9">
        <v>25</v>
      </c>
      <c r="G26" s="9">
        <v>30</v>
      </c>
      <c r="H26" s="9">
        <v>40</v>
      </c>
      <c r="I26" s="9">
        <v>50</v>
      </c>
      <c r="J26" s="9">
        <v>75</v>
      </c>
      <c r="K26" s="9">
        <v>100</v>
      </c>
      <c r="L26" s="9">
        <v>150</v>
      </c>
      <c r="M26" s="326" t="s">
        <v>75</v>
      </c>
      <c r="N26" s="326" t="s">
        <v>75</v>
      </c>
      <c r="O26" s="10" t="s">
        <v>75</v>
      </c>
      <c r="P26" s="11" t="s">
        <v>112</v>
      </c>
      <c r="Q26" s="11" t="s">
        <v>194</v>
      </c>
      <c r="R26" s="11" t="s">
        <v>194</v>
      </c>
      <c r="S26" s="18" t="s">
        <v>205</v>
      </c>
      <c r="T26" s="340">
        <v>30</v>
      </c>
      <c r="U26" s="15" t="s">
        <v>247</v>
      </c>
      <c r="V26" s="17">
        <v>2.5</v>
      </c>
      <c r="X26" s="247" t="s">
        <v>175</v>
      </c>
      <c r="Y26" s="259">
        <v>50</v>
      </c>
      <c r="Z26" s="23" t="str">
        <f>VLOOKUP(X26,$C$2:$Q$43,15,FALSE)&amp;IF(LEN(Y26)=3,Y26,0&amp;Y26)</f>
        <v>038050</v>
      </c>
      <c r="AA26" s="248">
        <v>50</v>
      </c>
      <c r="AB26" s="249">
        <f t="shared" si="0"/>
        <v>1.9634954084936209E-3</v>
      </c>
    </row>
    <row r="27" spans="2:28">
      <c r="C27" s="3" t="s">
        <v>86</v>
      </c>
      <c r="D27" s="8">
        <v>13</v>
      </c>
      <c r="E27" s="9">
        <v>20</v>
      </c>
      <c r="F27" s="9">
        <v>25</v>
      </c>
      <c r="G27" s="9">
        <v>40</v>
      </c>
      <c r="H27" s="9">
        <v>50</v>
      </c>
      <c r="I27" s="9" t="s">
        <v>75</v>
      </c>
      <c r="J27" s="9" t="s">
        <v>75</v>
      </c>
      <c r="K27" s="9" t="s">
        <v>75</v>
      </c>
      <c r="L27" s="9" t="s">
        <v>75</v>
      </c>
      <c r="M27" s="326" t="s">
        <v>75</v>
      </c>
      <c r="N27" s="326" t="s">
        <v>75</v>
      </c>
      <c r="O27" s="10" t="s">
        <v>75</v>
      </c>
      <c r="P27" s="11" t="s">
        <v>113</v>
      </c>
      <c r="Q27" s="11"/>
      <c r="R27" s="11"/>
      <c r="S27" s="18" t="s">
        <v>205</v>
      </c>
      <c r="T27" s="340">
        <v>40</v>
      </c>
      <c r="U27" s="15" t="s">
        <v>248</v>
      </c>
      <c r="V27" s="17">
        <v>3.1</v>
      </c>
      <c r="X27" s="247" t="s">
        <v>176</v>
      </c>
      <c r="Y27" s="259">
        <v>100</v>
      </c>
      <c r="Z27" s="23" t="s">
        <v>291</v>
      </c>
      <c r="AA27" s="248">
        <v>100</v>
      </c>
      <c r="AB27" s="249">
        <f t="shared" si="0"/>
        <v>7.8539816339744835E-3</v>
      </c>
    </row>
    <row r="28" spans="2:28">
      <c r="C28" s="3" t="s">
        <v>207</v>
      </c>
      <c r="D28" s="8">
        <v>20</v>
      </c>
      <c r="E28" s="9">
        <v>30</v>
      </c>
      <c r="F28" s="9">
        <v>40</v>
      </c>
      <c r="G28" s="9">
        <v>50</v>
      </c>
      <c r="H28" s="9" t="s">
        <v>75</v>
      </c>
      <c r="I28" s="9" t="s">
        <v>75</v>
      </c>
      <c r="J28" s="9" t="s">
        <v>75</v>
      </c>
      <c r="K28" s="9" t="s">
        <v>75</v>
      </c>
      <c r="L28" s="9" t="s">
        <v>75</v>
      </c>
      <c r="M28" s="326" t="s">
        <v>75</v>
      </c>
      <c r="N28" s="326" t="s">
        <v>75</v>
      </c>
      <c r="O28" s="10" t="s">
        <v>75</v>
      </c>
      <c r="P28" s="11" t="s">
        <v>114</v>
      </c>
      <c r="Q28" s="11"/>
      <c r="R28" s="11"/>
      <c r="S28" s="18" t="s">
        <v>205</v>
      </c>
      <c r="T28" s="340">
        <v>50</v>
      </c>
      <c r="U28" s="15" t="s">
        <v>249</v>
      </c>
      <c r="V28" s="17">
        <v>4</v>
      </c>
      <c r="X28" s="247" t="s">
        <v>66</v>
      </c>
      <c r="Y28" s="259">
        <v>13</v>
      </c>
      <c r="Z28" s="23" t="s">
        <v>292</v>
      </c>
      <c r="AA28" s="248">
        <v>12.8</v>
      </c>
      <c r="AB28" s="249">
        <f t="shared" si="0"/>
        <v>1.2867963509103792E-4</v>
      </c>
    </row>
    <row r="29" spans="2:28">
      <c r="C29" s="3" t="s">
        <v>206</v>
      </c>
      <c r="D29" s="8">
        <v>13</v>
      </c>
      <c r="E29" s="9">
        <v>20</v>
      </c>
      <c r="F29" s="9">
        <v>25</v>
      </c>
      <c r="G29" s="9">
        <v>30</v>
      </c>
      <c r="H29" s="9">
        <v>40</v>
      </c>
      <c r="I29" s="9">
        <v>50</v>
      </c>
      <c r="J29" s="9" t="s">
        <v>75</v>
      </c>
      <c r="K29" s="9" t="s">
        <v>75</v>
      </c>
      <c r="L29" s="9" t="s">
        <v>75</v>
      </c>
      <c r="M29" s="326" t="s">
        <v>75</v>
      </c>
      <c r="N29" s="326" t="s">
        <v>75</v>
      </c>
      <c r="O29" s="10" t="s">
        <v>75</v>
      </c>
      <c r="P29" s="11" t="s">
        <v>115</v>
      </c>
      <c r="Q29" s="11"/>
      <c r="R29" s="11"/>
      <c r="S29" s="18" t="s">
        <v>205</v>
      </c>
      <c r="T29" s="340">
        <v>75</v>
      </c>
      <c r="U29" s="15" t="s">
        <v>250</v>
      </c>
      <c r="V29" s="17">
        <v>5.7</v>
      </c>
      <c r="X29" s="247" t="s">
        <v>176</v>
      </c>
      <c r="Y29" s="259">
        <v>16</v>
      </c>
      <c r="Z29" s="23" t="s">
        <v>293</v>
      </c>
      <c r="AA29" s="248">
        <v>16.8</v>
      </c>
      <c r="AB29" s="249">
        <f t="shared" si="0"/>
        <v>2.2167077763729585E-4</v>
      </c>
    </row>
    <row r="30" spans="2:28">
      <c r="C30" s="3" t="s">
        <v>55</v>
      </c>
      <c r="D30" s="8">
        <v>13</v>
      </c>
      <c r="E30" s="9">
        <v>20</v>
      </c>
      <c r="F30" s="9">
        <v>25</v>
      </c>
      <c r="G30" s="9">
        <v>30</v>
      </c>
      <c r="H30" s="9">
        <v>40</v>
      </c>
      <c r="I30" s="9">
        <v>50</v>
      </c>
      <c r="J30" s="9">
        <v>75</v>
      </c>
      <c r="K30" s="9">
        <v>100</v>
      </c>
      <c r="L30" s="9">
        <v>150</v>
      </c>
      <c r="M30" s="326" t="s">
        <v>75</v>
      </c>
      <c r="N30" s="326" t="s">
        <v>75</v>
      </c>
      <c r="O30" s="10" t="s">
        <v>75</v>
      </c>
      <c r="P30" s="11" t="s">
        <v>116</v>
      </c>
      <c r="Q30" s="11" t="s">
        <v>194</v>
      </c>
      <c r="R30" s="11" t="s">
        <v>194</v>
      </c>
      <c r="S30" s="18" t="s">
        <v>205</v>
      </c>
      <c r="T30" s="340">
        <v>100</v>
      </c>
      <c r="U30" s="15" t="s">
        <v>251</v>
      </c>
      <c r="V30" s="17">
        <v>7.6</v>
      </c>
      <c r="X30" s="247" t="s">
        <v>66</v>
      </c>
      <c r="Y30" s="259">
        <v>20</v>
      </c>
      <c r="Z30" s="23" t="s">
        <v>294</v>
      </c>
      <c r="AA30" s="248">
        <v>21.2</v>
      </c>
      <c r="AB30" s="249">
        <f t="shared" si="0"/>
        <v>3.5298935055734916E-4</v>
      </c>
    </row>
    <row r="31" spans="2:28">
      <c r="C31" s="3" t="s">
        <v>89</v>
      </c>
      <c r="D31" s="8">
        <v>13</v>
      </c>
      <c r="E31" s="9">
        <v>16</v>
      </c>
      <c r="F31" s="9">
        <v>20</v>
      </c>
      <c r="G31" s="9" t="s">
        <v>75</v>
      </c>
      <c r="H31" s="9" t="s">
        <v>75</v>
      </c>
      <c r="I31" s="9" t="s">
        <v>75</v>
      </c>
      <c r="J31" s="9" t="s">
        <v>75</v>
      </c>
      <c r="K31" s="9" t="s">
        <v>75</v>
      </c>
      <c r="L31" s="9" t="s">
        <v>75</v>
      </c>
      <c r="M31" s="326" t="s">
        <v>75</v>
      </c>
      <c r="N31" s="326" t="s">
        <v>75</v>
      </c>
      <c r="O31" s="10" t="s">
        <v>75</v>
      </c>
      <c r="P31" s="11" t="s">
        <v>117</v>
      </c>
      <c r="Q31" s="11" t="s">
        <v>194</v>
      </c>
      <c r="R31" s="11" t="s">
        <v>194</v>
      </c>
      <c r="S31" s="18" t="s">
        <v>205</v>
      </c>
      <c r="T31" s="340">
        <v>150</v>
      </c>
      <c r="U31" s="15" t="s">
        <v>252</v>
      </c>
      <c r="V31" s="17">
        <v>12</v>
      </c>
      <c r="X31" s="247" t="s">
        <v>176</v>
      </c>
      <c r="Y31" s="259">
        <v>25</v>
      </c>
      <c r="Z31" s="23" t="s">
        <v>295</v>
      </c>
      <c r="AA31" s="248">
        <v>28</v>
      </c>
      <c r="AB31" s="249">
        <f t="shared" si="0"/>
        <v>6.1575216010359955E-4</v>
      </c>
    </row>
    <row r="32" spans="2:28">
      <c r="C32" s="3" t="s">
        <v>61</v>
      </c>
      <c r="D32" s="8" t="s">
        <v>75</v>
      </c>
      <c r="E32" s="9" t="s">
        <v>75</v>
      </c>
      <c r="F32" s="9" t="s">
        <v>75</v>
      </c>
      <c r="G32" s="9" t="s">
        <v>75</v>
      </c>
      <c r="H32" s="9" t="s">
        <v>75</v>
      </c>
      <c r="I32" s="9" t="s">
        <v>75</v>
      </c>
      <c r="J32" s="9" t="s">
        <v>75</v>
      </c>
      <c r="K32" s="9" t="s">
        <v>75</v>
      </c>
      <c r="L32" s="9" t="s">
        <v>75</v>
      </c>
      <c r="M32" s="326" t="s">
        <v>75</v>
      </c>
      <c r="N32" s="326" t="s">
        <v>75</v>
      </c>
      <c r="O32" s="10" t="s">
        <v>75</v>
      </c>
      <c r="P32" s="11" t="s">
        <v>118</v>
      </c>
      <c r="Q32" s="11"/>
      <c r="R32" s="11"/>
      <c r="S32" s="18" t="s">
        <v>87</v>
      </c>
      <c r="T32" s="340">
        <v>13</v>
      </c>
      <c r="U32" s="15" t="s">
        <v>253</v>
      </c>
      <c r="V32" s="17">
        <v>0.12</v>
      </c>
      <c r="X32" s="247" t="s">
        <v>176</v>
      </c>
      <c r="Y32" s="259">
        <v>30</v>
      </c>
      <c r="Z32" s="23" t="s">
        <v>296</v>
      </c>
      <c r="AA32" s="248">
        <v>35</v>
      </c>
      <c r="AB32" s="249">
        <f t="shared" si="0"/>
        <v>9.6211275016187424E-4</v>
      </c>
    </row>
    <row r="33" spans="1:28">
      <c r="C33" s="3" t="s">
        <v>62</v>
      </c>
      <c r="D33" s="8">
        <v>13</v>
      </c>
      <c r="E33" s="9">
        <v>20</v>
      </c>
      <c r="F33" s="9">
        <v>25</v>
      </c>
      <c r="G33" s="9">
        <v>30</v>
      </c>
      <c r="H33" s="9">
        <v>40</v>
      </c>
      <c r="I33" s="9">
        <v>50</v>
      </c>
      <c r="J33" s="9" t="s">
        <v>75</v>
      </c>
      <c r="K33" s="9" t="s">
        <v>75</v>
      </c>
      <c r="L33" s="9" t="s">
        <v>75</v>
      </c>
      <c r="M33" s="326" t="s">
        <v>75</v>
      </c>
      <c r="N33" s="326" t="s">
        <v>75</v>
      </c>
      <c r="O33" s="10" t="s">
        <v>75</v>
      </c>
      <c r="P33" s="11" t="s">
        <v>119</v>
      </c>
      <c r="Q33" s="11" t="s">
        <v>119</v>
      </c>
      <c r="R33" s="11" t="s">
        <v>119</v>
      </c>
      <c r="S33" s="18" t="s">
        <v>87</v>
      </c>
      <c r="T33" s="340">
        <v>20</v>
      </c>
      <c r="U33" s="15" t="s">
        <v>254</v>
      </c>
      <c r="V33" s="17">
        <v>0.15</v>
      </c>
      <c r="X33" s="247" t="s">
        <v>176</v>
      </c>
      <c r="Y33" s="259">
        <v>40</v>
      </c>
      <c r="Z33" s="23" t="s">
        <v>297</v>
      </c>
      <c r="AA33" s="248">
        <v>40</v>
      </c>
      <c r="AB33" s="249">
        <f t="shared" si="0"/>
        <v>1.2566370614359172E-3</v>
      </c>
    </row>
    <row r="34" spans="1:28">
      <c r="C34" s="3" t="s">
        <v>63</v>
      </c>
      <c r="D34" s="8">
        <v>50</v>
      </c>
      <c r="E34" s="9">
        <v>75</v>
      </c>
      <c r="F34" s="9">
        <v>100</v>
      </c>
      <c r="G34" s="9">
        <v>150</v>
      </c>
      <c r="H34" s="9" t="s">
        <v>75</v>
      </c>
      <c r="I34" s="9" t="s">
        <v>75</v>
      </c>
      <c r="J34" s="9" t="s">
        <v>75</v>
      </c>
      <c r="K34" s="9" t="s">
        <v>75</v>
      </c>
      <c r="L34" s="9" t="s">
        <v>75</v>
      </c>
      <c r="M34" s="326" t="s">
        <v>75</v>
      </c>
      <c r="N34" s="326" t="s">
        <v>75</v>
      </c>
      <c r="O34" s="10" t="s">
        <v>75</v>
      </c>
      <c r="P34" s="11" t="s">
        <v>120</v>
      </c>
      <c r="Q34" s="11" t="s">
        <v>120</v>
      </c>
      <c r="R34" s="11" t="s">
        <v>120</v>
      </c>
      <c r="S34" s="18" t="s">
        <v>87</v>
      </c>
      <c r="T34" s="340">
        <v>25</v>
      </c>
      <c r="U34" s="15" t="s">
        <v>255</v>
      </c>
      <c r="V34" s="17">
        <v>0.18</v>
      </c>
      <c r="X34" s="247" t="s">
        <v>176</v>
      </c>
      <c r="Y34" s="259">
        <v>50</v>
      </c>
      <c r="Z34" s="23" t="s">
        <v>298</v>
      </c>
      <c r="AA34" s="248">
        <v>50</v>
      </c>
      <c r="AB34" s="249">
        <f t="shared" si="0"/>
        <v>1.9634954084936209E-3</v>
      </c>
    </row>
    <row r="35" spans="1:28">
      <c r="C35" s="3" t="s">
        <v>64</v>
      </c>
      <c r="D35" s="8">
        <v>20</v>
      </c>
      <c r="E35" s="9">
        <v>25</v>
      </c>
      <c r="F35" s="9">
        <v>30</v>
      </c>
      <c r="G35" s="9">
        <v>40</v>
      </c>
      <c r="H35" s="9">
        <v>50</v>
      </c>
      <c r="I35" s="9">
        <v>65</v>
      </c>
      <c r="J35" s="9">
        <v>75</v>
      </c>
      <c r="K35" s="9">
        <v>100</v>
      </c>
      <c r="L35" s="9">
        <v>125</v>
      </c>
      <c r="M35" s="326">
        <v>150</v>
      </c>
      <c r="N35" s="326">
        <v>200</v>
      </c>
      <c r="O35" s="10" t="s">
        <v>75</v>
      </c>
      <c r="P35" s="11" t="s">
        <v>121</v>
      </c>
      <c r="Q35" s="11" t="s">
        <v>209</v>
      </c>
      <c r="R35" s="11" t="s">
        <v>209</v>
      </c>
      <c r="S35" s="18" t="s">
        <v>87</v>
      </c>
      <c r="T35" s="340">
        <v>30</v>
      </c>
      <c r="U35" s="15" t="s">
        <v>256</v>
      </c>
      <c r="V35" s="17">
        <v>0.24</v>
      </c>
      <c r="X35" s="247" t="s">
        <v>176</v>
      </c>
      <c r="Y35" s="259">
        <v>65</v>
      </c>
      <c r="Z35" s="23" t="s">
        <v>299</v>
      </c>
      <c r="AA35" s="248">
        <v>65</v>
      </c>
      <c r="AB35" s="249">
        <f t="shared" si="0"/>
        <v>3.3183072403542195E-3</v>
      </c>
    </row>
    <row r="36" spans="1:28">
      <c r="C36" s="3" t="s">
        <v>65</v>
      </c>
      <c r="D36" s="8">
        <v>13</v>
      </c>
      <c r="E36" s="9">
        <v>16</v>
      </c>
      <c r="F36" s="9">
        <v>20</v>
      </c>
      <c r="G36" s="9">
        <v>25</v>
      </c>
      <c r="H36" s="9">
        <v>30</v>
      </c>
      <c r="I36" s="9">
        <v>40</v>
      </c>
      <c r="J36" s="9">
        <v>50</v>
      </c>
      <c r="K36" s="9">
        <v>65</v>
      </c>
      <c r="L36" s="9">
        <v>80</v>
      </c>
      <c r="M36" s="326">
        <v>100</v>
      </c>
      <c r="N36" s="326">
        <v>150</v>
      </c>
      <c r="O36" s="10" t="s">
        <v>76</v>
      </c>
      <c r="P36" s="11" t="s">
        <v>122</v>
      </c>
      <c r="Q36" s="11" t="s">
        <v>350</v>
      </c>
      <c r="R36" s="11" t="s">
        <v>194</v>
      </c>
      <c r="S36" s="18" t="s">
        <v>87</v>
      </c>
      <c r="T36" s="340">
        <v>40</v>
      </c>
      <c r="U36" s="15" t="s">
        <v>257</v>
      </c>
      <c r="V36" s="17">
        <v>0.3</v>
      </c>
      <c r="X36" s="247" t="s">
        <v>176</v>
      </c>
      <c r="Y36" s="259">
        <v>75</v>
      </c>
      <c r="Z36" s="23" t="s">
        <v>300</v>
      </c>
      <c r="AA36" s="248">
        <v>75</v>
      </c>
      <c r="AB36" s="249">
        <f t="shared" si="0"/>
        <v>4.4178646691106467E-3</v>
      </c>
    </row>
    <row r="37" spans="1:28">
      <c r="C37" s="3" t="s">
        <v>66</v>
      </c>
      <c r="D37" s="8">
        <v>13</v>
      </c>
      <c r="E37" s="9">
        <v>16</v>
      </c>
      <c r="F37" s="9">
        <v>20</v>
      </c>
      <c r="G37" s="9">
        <v>25</v>
      </c>
      <c r="H37" s="9">
        <v>30</v>
      </c>
      <c r="I37" s="9">
        <v>40</v>
      </c>
      <c r="J37" s="9">
        <v>50</v>
      </c>
      <c r="K37" s="9">
        <v>65</v>
      </c>
      <c r="L37" s="9">
        <v>75</v>
      </c>
      <c r="M37" s="326">
        <v>100</v>
      </c>
      <c r="N37" s="326" t="s">
        <v>76</v>
      </c>
      <c r="O37" s="10" t="s">
        <v>75</v>
      </c>
      <c r="P37" s="11" t="s">
        <v>123</v>
      </c>
      <c r="Q37" s="11" t="s">
        <v>197</v>
      </c>
      <c r="R37" s="11" t="s">
        <v>194</v>
      </c>
      <c r="S37" s="18" t="s">
        <v>87</v>
      </c>
      <c r="T37" s="340">
        <v>50</v>
      </c>
      <c r="U37" s="15" t="s">
        <v>258</v>
      </c>
      <c r="V37" s="17">
        <v>0.39</v>
      </c>
      <c r="X37" s="247" t="s">
        <v>177</v>
      </c>
      <c r="Y37" s="259">
        <v>13</v>
      </c>
      <c r="Z37" s="23" t="s">
        <v>301</v>
      </c>
      <c r="AA37" s="248">
        <v>13</v>
      </c>
      <c r="AB37" s="249">
        <f t="shared" si="0"/>
        <v>1.3273228961416874E-4</v>
      </c>
    </row>
    <row r="38" spans="1:28">
      <c r="C38" s="3" t="s">
        <v>70</v>
      </c>
      <c r="D38" s="8">
        <v>15</v>
      </c>
      <c r="E38" s="9">
        <v>20</v>
      </c>
      <c r="F38" s="9">
        <v>25</v>
      </c>
      <c r="G38" s="9">
        <v>30</v>
      </c>
      <c r="H38" s="9">
        <v>40</v>
      </c>
      <c r="I38" s="9">
        <v>50</v>
      </c>
      <c r="J38" s="9">
        <v>65</v>
      </c>
      <c r="K38" s="9">
        <v>80</v>
      </c>
      <c r="L38" s="9">
        <v>100</v>
      </c>
      <c r="M38" s="326">
        <v>150</v>
      </c>
      <c r="N38" s="326" t="s">
        <v>76</v>
      </c>
      <c r="O38" s="10" t="s">
        <v>75</v>
      </c>
      <c r="P38" s="11" t="s">
        <v>124</v>
      </c>
      <c r="Q38" s="11" t="s">
        <v>194</v>
      </c>
      <c r="R38" s="11" t="s">
        <v>194</v>
      </c>
      <c r="S38" s="18" t="s">
        <v>87</v>
      </c>
      <c r="T38" s="340">
        <v>75</v>
      </c>
      <c r="U38" s="15" t="s">
        <v>259</v>
      </c>
      <c r="V38" s="17">
        <v>0.63</v>
      </c>
      <c r="X38" s="247" t="s">
        <v>177</v>
      </c>
      <c r="Y38" s="259">
        <v>20</v>
      </c>
      <c r="Z38" s="23" t="s">
        <v>302</v>
      </c>
      <c r="AA38" s="248">
        <v>20</v>
      </c>
      <c r="AB38" s="249">
        <f t="shared" si="0"/>
        <v>3.1415926535897931E-4</v>
      </c>
    </row>
    <row r="39" spans="1:28">
      <c r="C39" s="3" t="s">
        <v>72</v>
      </c>
      <c r="D39" s="8">
        <v>13</v>
      </c>
      <c r="E39" s="9">
        <v>16</v>
      </c>
      <c r="F39" s="9">
        <v>20</v>
      </c>
      <c r="G39" s="9">
        <v>25</v>
      </c>
      <c r="H39" s="9">
        <v>30</v>
      </c>
      <c r="I39" s="9">
        <v>40</v>
      </c>
      <c r="J39" s="9">
        <v>50</v>
      </c>
      <c r="K39" s="9" t="s">
        <v>75</v>
      </c>
      <c r="L39" s="9" t="s">
        <v>75</v>
      </c>
      <c r="M39" s="326" t="s">
        <v>76</v>
      </c>
      <c r="N39" s="326" t="s">
        <v>76</v>
      </c>
      <c r="O39" s="10" t="s">
        <v>75</v>
      </c>
      <c r="P39" s="11" t="s">
        <v>125</v>
      </c>
      <c r="Q39" s="11" t="s">
        <v>198</v>
      </c>
      <c r="R39" s="11" t="s">
        <v>194</v>
      </c>
      <c r="S39" s="18" t="s">
        <v>87</v>
      </c>
      <c r="T39" s="340">
        <v>100</v>
      </c>
      <c r="U39" s="15" t="s">
        <v>260</v>
      </c>
      <c r="V39" s="17">
        <v>0.81</v>
      </c>
      <c r="X39" s="247" t="s">
        <v>177</v>
      </c>
      <c r="Y39" s="259">
        <v>25</v>
      </c>
      <c r="Z39" s="23" t="s">
        <v>303</v>
      </c>
      <c r="AA39" s="248">
        <v>25</v>
      </c>
      <c r="AB39" s="249">
        <f t="shared" si="0"/>
        <v>4.9087385212340522E-4</v>
      </c>
    </row>
    <row r="40" spans="1:28">
      <c r="A40" s="438">
        <v>0.1</v>
      </c>
      <c r="B40" t="s">
        <v>376</v>
      </c>
      <c r="C40" s="3" t="s">
        <v>69</v>
      </c>
      <c r="D40" s="8">
        <v>13</v>
      </c>
      <c r="E40" s="9">
        <v>16</v>
      </c>
      <c r="F40" s="9">
        <v>20</v>
      </c>
      <c r="G40" s="9">
        <v>25</v>
      </c>
      <c r="H40" s="9">
        <v>30</v>
      </c>
      <c r="I40" s="9">
        <v>40</v>
      </c>
      <c r="J40" s="9">
        <v>50</v>
      </c>
      <c r="K40" s="9" t="s">
        <v>75</v>
      </c>
      <c r="L40" s="9" t="s">
        <v>75</v>
      </c>
      <c r="M40" s="326" t="s">
        <v>76</v>
      </c>
      <c r="N40" s="326" t="s">
        <v>76</v>
      </c>
      <c r="O40" s="10" t="s">
        <v>75</v>
      </c>
      <c r="P40" s="11" t="s">
        <v>126</v>
      </c>
      <c r="Q40" s="11" t="s">
        <v>194</v>
      </c>
      <c r="R40" s="11" t="s">
        <v>194</v>
      </c>
      <c r="S40" s="18" t="s">
        <v>46</v>
      </c>
      <c r="T40" s="340">
        <v>75</v>
      </c>
      <c r="U40" s="274" t="str">
        <f t="shared" ref="U40:U42" si="1">VLOOKUP(S40,$C$2:$P$43,14,FALSE)&amp;IF(LEN(T40)=3,T40,0&amp;T40)</f>
        <v>002075</v>
      </c>
      <c r="V40" s="17">
        <v>0</v>
      </c>
      <c r="X40" s="247" t="s">
        <v>177</v>
      </c>
      <c r="Y40" s="259">
        <v>30</v>
      </c>
      <c r="Z40" s="23" t="s">
        <v>304</v>
      </c>
      <c r="AA40" s="248">
        <v>30</v>
      </c>
      <c r="AB40" s="249">
        <f t="shared" si="0"/>
        <v>7.0685834705770342E-4</v>
      </c>
    </row>
    <row r="41" spans="1:28">
      <c r="A41" s="439">
        <v>0.2</v>
      </c>
      <c r="B41" t="s">
        <v>377</v>
      </c>
      <c r="C41" s="3" t="s">
        <v>67</v>
      </c>
      <c r="D41" s="8">
        <v>13</v>
      </c>
      <c r="E41" s="9">
        <v>16</v>
      </c>
      <c r="F41" s="9">
        <v>20</v>
      </c>
      <c r="G41" s="9">
        <v>25</v>
      </c>
      <c r="H41" s="9">
        <v>30</v>
      </c>
      <c r="I41" s="9">
        <v>40</v>
      </c>
      <c r="J41" s="9">
        <v>50</v>
      </c>
      <c r="K41" s="9" t="s">
        <v>75</v>
      </c>
      <c r="L41" s="9" t="s">
        <v>75</v>
      </c>
      <c r="M41" s="326" t="s">
        <v>76</v>
      </c>
      <c r="N41" s="326" t="s">
        <v>76</v>
      </c>
      <c r="O41" s="10" t="s">
        <v>75</v>
      </c>
      <c r="P41" s="11" t="s">
        <v>127</v>
      </c>
      <c r="Q41" s="11" t="s">
        <v>199</v>
      </c>
      <c r="R41" s="11" t="s">
        <v>194</v>
      </c>
      <c r="S41" s="18" t="s">
        <v>46</v>
      </c>
      <c r="T41" s="340">
        <v>100</v>
      </c>
      <c r="U41" s="274" t="str">
        <f t="shared" si="1"/>
        <v>002100</v>
      </c>
      <c r="V41" s="17">
        <v>0</v>
      </c>
      <c r="X41" s="250" t="s">
        <v>177</v>
      </c>
      <c r="Y41" s="260">
        <v>40</v>
      </c>
      <c r="Z41" s="23" t="s">
        <v>305</v>
      </c>
      <c r="AA41" s="251">
        <v>35</v>
      </c>
      <c r="AB41" s="249">
        <f t="shared" si="0"/>
        <v>9.6211275016187424E-4</v>
      </c>
    </row>
    <row r="42" spans="1:28">
      <c r="A42" s="439">
        <v>0.7</v>
      </c>
      <c r="B42" t="s">
        <v>378</v>
      </c>
      <c r="C42" s="3" t="s">
        <v>71</v>
      </c>
      <c r="D42" s="8">
        <v>13</v>
      </c>
      <c r="E42" s="9">
        <v>16</v>
      </c>
      <c r="F42" s="9">
        <v>20</v>
      </c>
      <c r="G42" s="9">
        <v>25</v>
      </c>
      <c r="H42" s="9">
        <v>30</v>
      </c>
      <c r="I42" s="9">
        <v>40</v>
      </c>
      <c r="J42" s="9">
        <v>50</v>
      </c>
      <c r="K42" s="9">
        <v>75</v>
      </c>
      <c r="L42" s="9">
        <v>100</v>
      </c>
      <c r="M42" s="326">
        <v>150</v>
      </c>
      <c r="N42" s="326" t="s">
        <v>76</v>
      </c>
      <c r="O42" s="10" t="s">
        <v>75</v>
      </c>
      <c r="P42" s="11" t="s">
        <v>128</v>
      </c>
      <c r="Q42" s="11" t="s">
        <v>194</v>
      </c>
      <c r="R42" s="11" t="s">
        <v>194</v>
      </c>
      <c r="S42" s="18" t="s">
        <v>46</v>
      </c>
      <c r="T42" s="340">
        <v>150</v>
      </c>
      <c r="U42" s="274" t="str">
        <f t="shared" si="1"/>
        <v>002150</v>
      </c>
      <c r="V42" s="17">
        <v>0</v>
      </c>
      <c r="X42" s="250" t="s">
        <v>177</v>
      </c>
      <c r="Y42" s="260">
        <v>50</v>
      </c>
      <c r="Z42" s="23" t="s">
        <v>306</v>
      </c>
      <c r="AA42" s="251">
        <v>44</v>
      </c>
      <c r="AB42" s="249">
        <f t="shared" si="0"/>
        <v>1.5205308443374597E-3</v>
      </c>
    </row>
    <row r="43" spans="1:28">
      <c r="A43" s="439"/>
      <c r="B43" t="s">
        <v>379</v>
      </c>
      <c r="C43" s="3" t="s">
        <v>68</v>
      </c>
      <c r="D43" s="449">
        <v>75</v>
      </c>
      <c r="E43" s="450">
        <v>100</v>
      </c>
      <c r="F43" s="450">
        <v>150</v>
      </c>
      <c r="G43" s="450">
        <v>200</v>
      </c>
      <c r="H43" s="450" t="s">
        <v>75</v>
      </c>
      <c r="I43" s="450" t="s">
        <v>75</v>
      </c>
      <c r="J43" s="450" t="s">
        <v>75</v>
      </c>
      <c r="K43" s="450" t="s">
        <v>75</v>
      </c>
      <c r="L43" s="450" t="s">
        <v>75</v>
      </c>
      <c r="M43" s="451" t="s">
        <v>76</v>
      </c>
      <c r="N43" s="451" t="s">
        <v>76</v>
      </c>
      <c r="O43" s="452" t="s">
        <v>75</v>
      </c>
      <c r="P43" s="11" t="s">
        <v>129</v>
      </c>
      <c r="Q43" s="11" t="s">
        <v>200</v>
      </c>
      <c r="R43" s="11" t="s">
        <v>200</v>
      </c>
      <c r="S43" s="18" t="s">
        <v>135</v>
      </c>
      <c r="T43" s="340">
        <v>30</v>
      </c>
      <c r="U43" s="15" t="s">
        <v>261</v>
      </c>
      <c r="V43" s="17">
        <v>13</v>
      </c>
      <c r="X43" s="250" t="s">
        <v>178</v>
      </c>
      <c r="Y43" s="260">
        <v>50</v>
      </c>
      <c r="Z43" s="23" t="s">
        <v>307</v>
      </c>
      <c r="AA43" s="251">
        <v>51.4</v>
      </c>
      <c r="AB43" s="249">
        <f t="shared" si="0"/>
        <v>2.0749905317695226E-3</v>
      </c>
    </row>
    <row r="44" spans="1:28" ht="18.600000000000001" thickBot="1">
      <c r="A44" s="440"/>
      <c r="B44" t="s">
        <v>395</v>
      </c>
      <c r="C44" s="453" t="s">
        <v>408</v>
      </c>
      <c r="D44" s="454">
        <v>13</v>
      </c>
      <c r="E44" s="455" t="s">
        <v>76</v>
      </c>
      <c r="F44" s="455" t="s">
        <v>76</v>
      </c>
      <c r="G44" s="455" t="s">
        <v>76</v>
      </c>
      <c r="H44" s="455" t="s">
        <v>76</v>
      </c>
      <c r="I44" s="455" t="s">
        <v>76</v>
      </c>
      <c r="J44" s="455" t="s">
        <v>76</v>
      </c>
      <c r="K44" s="455" t="s">
        <v>76</v>
      </c>
      <c r="L44" s="455" t="s">
        <v>76</v>
      </c>
      <c r="M44" s="455" t="s">
        <v>76</v>
      </c>
      <c r="N44" s="455" t="s">
        <v>76</v>
      </c>
      <c r="O44" s="456" t="s">
        <v>76</v>
      </c>
      <c r="P44" s="11" t="s">
        <v>410</v>
      </c>
      <c r="Q44" s="457" t="s">
        <v>410</v>
      </c>
      <c r="R44" s="457" t="s">
        <v>410</v>
      </c>
      <c r="S44" s="18" t="s">
        <v>135</v>
      </c>
      <c r="T44" s="340">
        <v>40</v>
      </c>
      <c r="U44" s="15" t="s">
        <v>262</v>
      </c>
      <c r="V44" s="17">
        <v>20</v>
      </c>
      <c r="X44" s="250" t="s">
        <v>178</v>
      </c>
      <c r="Y44" s="260">
        <v>75</v>
      </c>
      <c r="Z44" s="23" t="s">
        <v>308</v>
      </c>
      <c r="AA44" s="251">
        <v>75</v>
      </c>
      <c r="AB44" s="249">
        <f t="shared" si="0"/>
        <v>4.4178646691106467E-3</v>
      </c>
    </row>
    <row r="45" spans="1:28">
      <c r="B45" t="s">
        <v>380</v>
      </c>
      <c r="S45" s="18" t="s">
        <v>135</v>
      </c>
      <c r="T45" s="340">
        <v>50</v>
      </c>
      <c r="U45" s="15" t="s">
        <v>263</v>
      </c>
      <c r="V45" s="17">
        <v>26</v>
      </c>
      <c r="X45" s="250" t="s">
        <v>178</v>
      </c>
      <c r="Y45" s="260">
        <v>100</v>
      </c>
      <c r="Z45" s="23" t="s">
        <v>309</v>
      </c>
      <c r="AA45" s="251">
        <v>100</v>
      </c>
      <c r="AB45" s="249">
        <f t="shared" si="0"/>
        <v>7.8539816339744835E-3</v>
      </c>
    </row>
    <row r="46" spans="1:28">
      <c r="B46" t="s">
        <v>381</v>
      </c>
      <c r="S46" s="18" t="s">
        <v>135</v>
      </c>
      <c r="T46" s="340">
        <v>75</v>
      </c>
      <c r="U46" s="15" t="s">
        <v>264</v>
      </c>
      <c r="V46" s="17">
        <v>45</v>
      </c>
      <c r="X46" s="250" t="s">
        <v>178</v>
      </c>
      <c r="Y46" s="260">
        <v>150</v>
      </c>
      <c r="Z46" s="23" t="s">
        <v>310</v>
      </c>
      <c r="AA46" s="251">
        <v>150</v>
      </c>
      <c r="AB46" s="249">
        <f t="shared" si="0"/>
        <v>1.7671458676442587E-2</v>
      </c>
    </row>
    <row r="47" spans="1:28">
      <c r="B47" t="s">
        <v>382</v>
      </c>
      <c r="S47" s="18" t="s">
        <v>135</v>
      </c>
      <c r="T47" s="340">
        <v>100</v>
      </c>
      <c r="U47" s="15" t="s">
        <v>265</v>
      </c>
      <c r="V47" s="17">
        <v>65</v>
      </c>
      <c r="X47" s="250" t="s">
        <v>178</v>
      </c>
      <c r="Y47" s="260">
        <v>200</v>
      </c>
      <c r="Z47" s="23" t="s">
        <v>311</v>
      </c>
      <c r="AA47" s="251">
        <v>200</v>
      </c>
      <c r="AB47" s="249">
        <f t="shared" si="0"/>
        <v>3.1415926535897934E-2</v>
      </c>
    </row>
    <row r="48" spans="1:28">
      <c r="B48" t="s">
        <v>390</v>
      </c>
      <c r="S48" s="18" t="s">
        <v>135</v>
      </c>
      <c r="T48" s="340">
        <v>150</v>
      </c>
      <c r="U48" s="15" t="s">
        <v>266</v>
      </c>
      <c r="V48" s="17">
        <v>106</v>
      </c>
      <c r="X48" s="247" t="s">
        <v>179</v>
      </c>
      <c r="Y48" s="259">
        <v>100</v>
      </c>
      <c r="Z48" s="23" t="s">
        <v>312</v>
      </c>
      <c r="AA48" s="248">
        <v>100</v>
      </c>
      <c r="AB48" s="249">
        <f t="shared" si="0"/>
        <v>7.8539816339744835E-3</v>
      </c>
    </row>
    <row r="49" spans="2:28">
      <c r="B49" s="11" t="s">
        <v>392</v>
      </c>
      <c r="S49" s="18" t="s">
        <v>55</v>
      </c>
      <c r="T49" s="340">
        <v>13</v>
      </c>
      <c r="U49" s="15" t="s">
        <v>267</v>
      </c>
      <c r="V49" s="17">
        <v>4</v>
      </c>
      <c r="X49" s="247" t="s">
        <v>179</v>
      </c>
      <c r="Y49" s="259">
        <v>20</v>
      </c>
      <c r="Z49" s="23" t="s">
        <v>313</v>
      </c>
      <c r="AA49" s="248">
        <v>20.22</v>
      </c>
      <c r="AB49" s="249">
        <f t="shared" si="0"/>
        <v>3.2110878246798522E-4</v>
      </c>
    </row>
    <row r="50" spans="2:28">
      <c r="B50" s="11" t="s">
        <v>393</v>
      </c>
      <c r="S50" s="18" t="s">
        <v>55</v>
      </c>
      <c r="T50" s="340">
        <v>20</v>
      </c>
      <c r="U50" s="15" t="s">
        <v>268</v>
      </c>
      <c r="V50" s="17">
        <v>8</v>
      </c>
      <c r="X50" s="247" t="s">
        <v>179</v>
      </c>
      <c r="Y50" s="259">
        <v>25</v>
      </c>
      <c r="Z50" s="23" t="s">
        <v>314</v>
      </c>
      <c r="AA50" s="248">
        <v>26.58</v>
      </c>
      <c r="AB50" s="249">
        <f t="shared" si="0"/>
        <v>5.5488097500690898E-4</v>
      </c>
    </row>
    <row r="51" spans="2:28">
      <c r="B51" s="11" t="s">
        <v>394</v>
      </c>
      <c r="S51" s="18" t="s">
        <v>55</v>
      </c>
      <c r="T51" s="340">
        <v>25</v>
      </c>
      <c r="U51" s="15" t="s">
        <v>269</v>
      </c>
      <c r="V51" s="17">
        <v>11</v>
      </c>
      <c r="X51" s="247" t="s">
        <v>179</v>
      </c>
      <c r="Y51" s="259">
        <v>30</v>
      </c>
      <c r="Z51" s="23" t="s">
        <v>315</v>
      </c>
      <c r="AA51" s="248">
        <v>31.6</v>
      </c>
      <c r="AB51" s="249">
        <f t="shared" si="0"/>
        <v>7.8426719004215601E-4</v>
      </c>
    </row>
    <row r="52" spans="2:28">
      <c r="B52" s="11"/>
      <c r="S52" s="18" t="s">
        <v>55</v>
      </c>
      <c r="T52" s="340">
        <v>30</v>
      </c>
      <c r="U52" s="15" t="s">
        <v>270</v>
      </c>
      <c r="V52" s="17">
        <v>13</v>
      </c>
      <c r="X52" s="247" t="s">
        <v>179</v>
      </c>
      <c r="Y52" s="259">
        <v>40</v>
      </c>
      <c r="Z52" s="23" t="s">
        <v>316</v>
      </c>
      <c r="AA52" s="248">
        <v>40.299999999999997</v>
      </c>
      <c r="AB52" s="249">
        <f t="shared" si="0"/>
        <v>1.2755573031921616E-3</v>
      </c>
    </row>
    <row r="53" spans="2:28">
      <c r="S53" s="18" t="s">
        <v>55</v>
      </c>
      <c r="T53" s="340">
        <v>40</v>
      </c>
      <c r="U53" s="15" t="s">
        <v>271</v>
      </c>
      <c r="V53" s="17">
        <v>20</v>
      </c>
      <c r="X53" s="247" t="s">
        <v>179</v>
      </c>
      <c r="Y53" s="259">
        <v>50</v>
      </c>
      <c r="Z53" s="23" t="s">
        <v>317</v>
      </c>
      <c r="AA53" s="248">
        <v>46.2</v>
      </c>
      <c r="AB53" s="249">
        <f t="shared" si="0"/>
        <v>1.6763852558820498E-3</v>
      </c>
    </row>
    <row r="54" spans="2:28">
      <c r="S54" s="18" t="s">
        <v>55</v>
      </c>
      <c r="T54" s="340">
        <v>50</v>
      </c>
      <c r="U54" s="15" t="s">
        <v>272</v>
      </c>
      <c r="V54" s="17">
        <v>26</v>
      </c>
      <c r="X54" s="250" t="s">
        <v>179</v>
      </c>
      <c r="Y54" s="260">
        <v>65</v>
      </c>
      <c r="Z54" s="23" t="s">
        <v>318</v>
      </c>
      <c r="AA54" s="251">
        <v>65</v>
      </c>
      <c r="AB54" s="249">
        <f t="shared" si="0"/>
        <v>3.3183072403542195E-3</v>
      </c>
    </row>
    <row r="55" spans="2:28">
      <c r="S55" s="18" t="s">
        <v>55</v>
      </c>
      <c r="T55" s="340">
        <v>75</v>
      </c>
      <c r="U55" s="15" t="s">
        <v>273</v>
      </c>
      <c r="V55" s="17">
        <v>45</v>
      </c>
      <c r="X55" s="250" t="s">
        <v>179</v>
      </c>
      <c r="Y55" s="260">
        <v>80</v>
      </c>
      <c r="Z55" s="23" t="s">
        <v>319</v>
      </c>
      <c r="AA55" s="251">
        <v>80</v>
      </c>
      <c r="AB55" s="249">
        <f t="shared" si="0"/>
        <v>5.0265482457436689E-3</v>
      </c>
    </row>
    <row r="56" spans="2:28">
      <c r="S56" s="18" t="s">
        <v>55</v>
      </c>
      <c r="T56" s="340">
        <v>100</v>
      </c>
      <c r="U56" s="15" t="s">
        <v>274</v>
      </c>
      <c r="V56" s="17">
        <v>65</v>
      </c>
      <c r="X56" s="247" t="s">
        <v>180</v>
      </c>
      <c r="Y56" s="260">
        <v>150</v>
      </c>
      <c r="Z56" s="263" t="s">
        <v>336</v>
      </c>
      <c r="AA56" s="251">
        <v>150</v>
      </c>
      <c r="AB56" s="249">
        <f t="shared" si="0"/>
        <v>1.7671458676442587E-2</v>
      </c>
    </row>
    <row r="57" spans="2:28">
      <c r="S57" s="18" t="s">
        <v>55</v>
      </c>
      <c r="T57" s="340">
        <v>150</v>
      </c>
      <c r="U57" s="15" t="s">
        <v>275</v>
      </c>
      <c r="V57" s="17">
        <v>106</v>
      </c>
      <c r="X57" s="247" t="s">
        <v>180</v>
      </c>
      <c r="Y57" s="259">
        <v>100</v>
      </c>
      <c r="Z57" s="23" t="s">
        <v>320</v>
      </c>
      <c r="AA57" s="248">
        <v>100</v>
      </c>
      <c r="AB57" s="249">
        <f t="shared" si="0"/>
        <v>7.8539816339744835E-3</v>
      </c>
    </row>
    <row r="58" spans="2:28">
      <c r="S58" s="18" t="s">
        <v>52</v>
      </c>
      <c r="T58" s="340">
        <v>25</v>
      </c>
      <c r="U58" s="15" t="s">
        <v>276</v>
      </c>
      <c r="V58" s="17">
        <v>8</v>
      </c>
      <c r="X58" s="247" t="s">
        <v>180</v>
      </c>
      <c r="Y58" s="259">
        <v>15</v>
      </c>
      <c r="Z58" s="23" t="s">
        <v>321</v>
      </c>
      <c r="AA58" s="248">
        <v>15</v>
      </c>
      <c r="AB58" s="249">
        <f t="shared" si="0"/>
        <v>1.7671458676442585E-4</v>
      </c>
    </row>
    <row r="59" spans="2:28">
      <c r="S59" s="18" t="s">
        <v>88</v>
      </c>
      <c r="T59" s="340">
        <v>13</v>
      </c>
      <c r="U59" s="15" t="s">
        <v>277</v>
      </c>
      <c r="V59" s="17">
        <v>3</v>
      </c>
      <c r="X59" s="247" t="s">
        <v>180</v>
      </c>
      <c r="Y59" s="259">
        <v>20</v>
      </c>
      <c r="Z59" s="23" t="s">
        <v>322</v>
      </c>
      <c r="AA59" s="248">
        <v>20</v>
      </c>
      <c r="AB59" s="249">
        <f t="shared" si="0"/>
        <v>3.1415926535897931E-4</v>
      </c>
    </row>
    <row r="60" spans="2:28">
      <c r="S60" s="18" t="s">
        <v>88</v>
      </c>
      <c r="T60" s="340">
        <v>20</v>
      </c>
      <c r="U60" s="15" t="s">
        <v>278</v>
      </c>
      <c r="V60" s="17">
        <v>8</v>
      </c>
      <c r="X60" s="247" t="s">
        <v>180</v>
      </c>
      <c r="Y60" s="259">
        <v>25</v>
      </c>
      <c r="Z60" s="23" t="s">
        <v>323</v>
      </c>
      <c r="AA60" s="248">
        <v>25</v>
      </c>
      <c r="AB60" s="249">
        <f t="shared" si="0"/>
        <v>4.9087385212340522E-4</v>
      </c>
    </row>
    <row r="61" spans="2:28">
      <c r="S61" s="273" t="s">
        <v>88</v>
      </c>
      <c r="T61" s="436">
        <v>25</v>
      </c>
      <c r="U61" s="274" t="s">
        <v>279</v>
      </c>
      <c r="V61" s="275">
        <v>8</v>
      </c>
      <c r="X61" s="247" t="s">
        <v>180</v>
      </c>
      <c r="Y61" s="259">
        <v>30</v>
      </c>
      <c r="Z61" s="23" t="s">
        <v>324</v>
      </c>
      <c r="AA61" s="248">
        <v>30</v>
      </c>
      <c r="AB61" s="249">
        <f t="shared" si="0"/>
        <v>7.0685834705770342E-4</v>
      </c>
    </row>
    <row r="62" spans="2:28">
      <c r="S62" s="18" t="s">
        <v>213</v>
      </c>
      <c r="T62" s="340">
        <v>13</v>
      </c>
      <c r="U62" s="15" t="s">
        <v>280</v>
      </c>
      <c r="V62" s="17">
        <v>3</v>
      </c>
      <c r="X62" s="247" t="s">
        <v>180</v>
      </c>
      <c r="Y62" s="259">
        <v>40</v>
      </c>
      <c r="Z62" s="23" t="s">
        <v>325</v>
      </c>
      <c r="AA62" s="248">
        <v>40</v>
      </c>
      <c r="AB62" s="249">
        <f t="shared" si="0"/>
        <v>1.2566370614359172E-3</v>
      </c>
    </row>
    <row r="63" spans="2:28">
      <c r="S63" s="18" t="s">
        <v>213</v>
      </c>
      <c r="T63" s="340">
        <v>16</v>
      </c>
      <c r="U63" s="15" t="s">
        <v>281</v>
      </c>
      <c r="V63" s="17">
        <v>3</v>
      </c>
      <c r="X63" s="247" t="s">
        <v>180</v>
      </c>
      <c r="Y63" s="259">
        <v>50</v>
      </c>
      <c r="Z63" s="23" t="s">
        <v>326</v>
      </c>
      <c r="AA63" s="248">
        <v>50</v>
      </c>
      <c r="AB63" s="249">
        <f t="shared" si="0"/>
        <v>1.9634954084936209E-3</v>
      </c>
    </row>
    <row r="64" spans="2:28">
      <c r="S64" s="273" t="s">
        <v>213</v>
      </c>
      <c r="T64" s="436">
        <v>20</v>
      </c>
      <c r="U64" s="274" t="s">
        <v>282</v>
      </c>
      <c r="V64" s="275">
        <v>3</v>
      </c>
      <c r="X64" s="250" t="s">
        <v>180</v>
      </c>
      <c r="Y64" s="260">
        <v>65</v>
      </c>
      <c r="Z64" s="23" t="s">
        <v>327</v>
      </c>
      <c r="AA64" s="251">
        <v>65</v>
      </c>
      <c r="AB64" s="249">
        <f t="shared" si="0"/>
        <v>3.3183072403542195E-3</v>
      </c>
    </row>
    <row r="65" spans="19:28">
      <c r="S65" s="18" t="s">
        <v>348</v>
      </c>
      <c r="T65" s="340">
        <v>13</v>
      </c>
      <c r="U65" s="274" t="str">
        <f>VLOOKUP(S65,$C$2:$P$43,14,FALSE)&amp;IF(LEN(T65)=3,T65,0&amp;T65)</f>
        <v>041013</v>
      </c>
      <c r="V65" s="17">
        <v>0.5</v>
      </c>
      <c r="X65" s="250" t="s">
        <v>180</v>
      </c>
      <c r="Y65" s="260">
        <v>80</v>
      </c>
      <c r="Z65" s="23" t="s">
        <v>328</v>
      </c>
      <c r="AA65" s="251">
        <v>80</v>
      </c>
      <c r="AB65" s="249">
        <f t="shared" si="0"/>
        <v>5.0265482457436689E-3</v>
      </c>
    </row>
    <row r="66" spans="19:28">
      <c r="S66" s="18" t="s">
        <v>348</v>
      </c>
      <c r="T66" s="340">
        <v>16</v>
      </c>
      <c r="U66" s="274" t="str">
        <f t="shared" ref="U66:U83" si="2">VLOOKUP(S66,$C$2:$P$43,14,FALSE)&amp;IF(LEN(T66)=3,T66,0&amp;T66)</f>
        <v>041016</v>
      </c>
      <c r="V66" s="17">
        <v>0.5</v>
      </c>
      <c r="X66" s="247" t="s">
        <v>181</v>
      </c>
      <c r="Y66" s="259">
        <v>13</v>
      </c>
      <c r="Z66" s="23" t="s">
        <v>329</v>
      </c>
      <c r="AA66" s="248">
        <v>12.8</v>
      </c>
      <c r="AB66" s="249">
        <f t="shared" si="0"/>
        <v>1.2867963509103792E-4</v>
      </c>
    </row>
    <row r="67" spans="19:28">
      <c r="S67" s="18" t="s">
        <v>348</v>
      </c>
      <c r="T67" s="340">
        <v>20</v>
      </c>
      <c r="U67" s="274" t="str">
        <f t="shared" si="2"/>
        <v>041020</v>
      </c>
      <c r="V67" s="17">
        <v>0.5</v>
      </c>
      <c r="X67" s="247" t="s">
        <v>181</v>
      </c>
      <c r="Y67" s="259">
        <v>16</v>
      </c>
      <c r="Z67" s="23" t="s">
        <v>330</v>
      </c>
      <c r="AA67" s="248">
        <v>16.2</v>
      </c>
      <c r="AB67" s="249">
        <f t="shared" si="0"/>
        <v>2.0611989400202629E-4</v>
      </c>
    </row>
    <row r="68" spans="19:28">
      <c r="S68" s="18" t="s">
        <v>348</v>
      </c>
      <c r="T68" s="340">
        <v>25</v>
      </c>
      <c r="U68" s="274" t="str">
        <f t="shared" si="2"/>
        <v>041025</v>
      </c>
      <c r="V68" s="17">
        <v>0.5</v>
      </c>
      <c r="X68" s="247" t="s">
        <v>181</v>
      </c>
      <c r="Y68" s="259">
        <v>20</v>
      </c>
      <c r="Z68" s="23" t="s">
        <v>331</v>
      </c>
      <c r="AA68" s="248">
        <v>20.5</v>
      </c>
      <c r="AB68" s="249">
        <f t="shared" si="0"/>
        <v>3.3006357816777767E-4</v>
      </c>
    </row>
    <row r="69" spans="19:28">
      <c r="S69" s="18" t="s">
        <v>348</v>
      </c>
      <c r="T69" s="340">
        <v>30</v>
      </c>
      <c r="U69" s="274" t="str">
        <f t="shared" si="2"/>
        <v>041030</v>
      </c>
      <c r="V69" s="17">
        <v>1</v>
      </c>
      <c r="X69" s="247" t="s">
        <v>181</v>
      </c>
      <c r="Y69" s="261">
        <v>30</v>
      </c>
      <c r="Z69" s="23" t="str">
        <f t="shared" ref="Z69:Z94" si="3">VLOOKUP(X69,$C$2:$Q$44,15,FALSE)&amp;IF(LEN(Y69)=3,Y69,0&amp;Y69)</f>
        <v>036030</v>
      </c>
      <c r="AA69" s="253">
        <v>30</v>
      </c>
      <c r="AB69" s="249">
        <f t="shared" si="0"/>
        <v>7.0685834705770342E-4</v>
      </c>
    </row>
    <row r="70" spans="19:28">
      <c r="S70" s="18" t="s">
        <v>348</v>
      </c>
      <c r="T70" s="340">
        <v>40</v>
      </c>
      <c r="U70" s="274" t="str">
        <f t="shared" si="2"/>
        <v>041040</v>
      </c>
      <c r="V70" s="17">
        <v>1</v>
      </c>
      <c r="X70" s="247" t="s">
        <v>181</v>
      </c>
      <c r="Y70" s="261">
        <v>40</v>
      </c>
      <c r="Z70" s="23" t="str">
        <f t="shared" si="3"/>
        <v>036040</v>
      </c>
      <c r="AA70" s="253">
        <v>40</v>
      </c>
      <c r="AB70" s="249">
        <f t="shared" si="0"/>
        <v>1.2566370614359172E-3</v>
      </c>
    </row>
    <row r="71" spans="19:28">
      <c r="S71" s="18" t="s">
        <v>348</v>
      </c>
      <c r="T71" s="340">
        <v>50</v>
      </c>
      <c r="U71" s="274" t="str">
        <f t="shared" si="2"/>
        <v>041050</v>
      </c>
      <c r="V71" s="17">
        <v>1</v>
      </c>
      <c r="X71" s="247" t="s">
        <v>181</v>
      </c>
      <c r="Y71" s="261">
        <v>50</v>
      </c>
      <c r="Z71" s="23" t="str">
        <f t="shared" si="3"/>
        <v>036050</v>
      </c>
      <c r="AA71" s="253">
        <v>50</v>
      </c>
      <c r="AB71" s="249">
        <f t="shared" si="0"/>
        <v>1.9634954084936209E-3</v>
      </c>
    </row>
    <row r="72" spans="19:28">
      <c r="S72" s="18" t="s">
        <v>87</v>
      </c>
      <c r="T72" s="340">
        <v>65</v>
      </c>
      <c r="U72" s="274" t="str">
        <f t="shared" si="2"/>
        <v>007065</v>
      </c>
      <c r="V72" s="17">
        <v>0.48</v>
      </c>
      <c r="X72" s="247" t="s">
        <v>383</v>
      </c>
      <c r="Y72" s="261">
        <v>20</v>
      </c>
      <c r="Z72" s="23" t="str">
        <f t="shared" si="3"/>
        <v>031020</v>
      </c>
      <c r="AA72" s="253">
        <v>20</v>
      </c>
      <c r="AB72" s="249">
        <f t="shared" si="0"/>
        <v>3.1415926535897931E-4</v>
      </c>
    </row>
    <row r="73" spans="19:28">
      <c r="S73" s="18" t="s">
        <v>47</v>
      </c>
      <c r="T73" s="340">
        <v>65</v>
      </c>
      <c r="U73" s="274" t="str">
        <f t="shared" si="2"/>
        <v>003065</v>
      </c>
      <c r="V73" s="17">
        <v>0</v>
      </c>
      <c r="X73" s="247" t="s">
        <v>383</v>
      </c>
      <c r="Y73" s="261">
        <v>25</v>
      </c>
      <c r="Z73" s="23" t="str">
        <f t="shared" si="3"/>
        <v>031025</v>
      </c>
      <c r="AA73" s="253">
        <v>25</v>
      </c>
      <c r="AB73" s="249">
        <f t="shared" si="0"/>
        <v>4.9087385212340522E-4</v>
      </c>
    </row>
    <row r="74" spans="19:28">
      <c r="S74" s="18" t="s">
        <v>47</v>
      </c>
      <c r="T74" s="340">
        <v>75</v>
      </c>
      <c r="U74" s="274" t="str">
        <f t="shared" si="2"/>
        <v>003075</v>
      </c>
      <c r="V74" s="17">
        <v>0</v>
      </c>
      <c r="X74" s="247" t="s">
        <v>383</v>
      </c>
      <c r="Y74" s="261">
        <v>30</v>
      </c>
      <c r="Z74" s="23" t="str">
        <f t="shared" si="3"/>
        <v>031030</v>
      </c>
      <c r="AA74" s="253">
        <v>30</v>
      </c>
      <c r="AB74" s="249">
        <f t="shared" si="0"/>
        <v>7.0685834705770342E-4</v>
      </c>
    </row>
    <row r="75" spans="19:28">
      <c r="S75" s="18" t="s">
        <v>47</v>
      </c>
      <c r="T75" s="340">
        <v>80</v>
      </c>
      <c r="U75" s="274" t="str">
        <f t="shared" si="2"/>
        <v>003080</v>
      </c>
      <c r="V75" s="17">
        <v>0</v>
      </c>
      <c r="X75" s="247" t="s">
        <v>383</v>
      </c>
      <c r="Y75" s="261">
        <v>40</v>
      </c>
      <c r="Z75" s="23" t="str">
        <f t="shared" si="3"/>
        <v>031040</v>
      </c>
      <c r="AA75" s="253">
        <v>40</v>
      </c>
      <c r="AB75" s="249">
        <f t="shared" si="0"/>
        <v>1.2566370614359172E-3</v>
      </c>
    </row>
    <row r="76" spans="19:28">
      <c r="S76" s="18" t="s">
        <v>47</v>
      </c>
      <c r="T76" s="340">
        <v>100</v>
      </c>
      <c r="U76" s="274" t="str">
        <f t="shared" si="2"/>
        <v>003100</v>
      </c>
      <c r="V76" s="17">
        <v>0</v>
      </c>
      <c r="X76" s="247" t="s">
        <v>383</v>
      </c>
      <c r="Y76" s="261">
        <v>65</v>
      </c>
      <c r="Z76" s="23" t="str">
        <f t="shared" si="3"/>
        <v>031065</v>
      </c>
      <c r="AA76" s="253">
        <v>65</v>
      </c>
      <c r="AB76" s="249">
        <f t="shared" si="0"/>
        <v>3.3183072403542195E-3</v>
      </c>
    </row>
    <row r="77" spans="19:28">
      <c r="S77" s="18" t="s">
        <v>47</v>
      </c>
      <c r="T77" s="340">
        <v>150</v>
      </c>
      <c r="U77" s="274" t="str">
        <f t="shared" si="2"/>
        <v>003150</v>
      </c>
      <c r="V77" s="17">
        <v>0</v>
      </c>
      <c r="X77" s="247" t="s">
        <v>63</v>
      </c>
      <c r="Y77" s="261">
        <v>125</v>
      </c>
      <c r="Z77" s="23" t="str">
        <f t="shared" si="3"/>
        <v>031125</v>
      </c>
      <c r="AA77" s="253">
        <v>125</v>
      </c>
      <c r="AB77" s="249">
        <f t="shared" si="0"/>
        <v>1.2271846303085129E-2</v>
      </c>
    </row>
    <row r="78" spans="19:28">
      <c r="S78" s="18" t="s">
        <v>47</v>
      </c>
      <c r="T78" s="340">
        <v>200</v>
      </c>
      <c r="U78" s="274" t="str">
        <f t="shared" si="2"/>
        <v>003200</v>
      </c>
      <c r="V78" s="17">
        <v>0</v>
      </c>
      <c r="X78" s="247" t="s">
        <v>63</v>
      </c>
      <c r="Y78" s="261">
        <v>200</v>
      </c>
      <c r="Z78" s="23" t="str">
        <f t="shared" si="3"/>
        <v>031200</v>
      </c>
      <c r="AA78" s="253">
        <v>200</v>
      </c>
      <c r="AB78" s="249">
        <f t="shared" si="0"/>
        <v>3.1415926535897934E-2</v>
      </c>
    </row>
    <row r="79" spans="19:28">
      <c r="S79" s="18" t="s">
        <v>56</v>
      </c>
      <c r="T79" s="340">
        <v>13</v>
      </c>
      <c r="U79" s="340" t="str">
        <f t="shared" si="2"/>
        <v>004013</v>
      </c>
      <c r="V79" s="17">
        <v>0.12</v>
      </c>
      <c r="X79" s="252" t="s">
        <v>348</v>
      </c>
      <c r="Y79" s="261" t="s">
        <v>406</v>
      </c>
      <c r="Z79" s="23" t="str">
        <f t="shared" si="3"/>
        <v>0000PeH50</v>
      </c>
      <c r="AA79" s="253">
        <v>51.4</v>
      </c>
      <c r="AB79" s="249">
        <f t="shared" ref="AB79:AB93" si="4">((AA79/1000)^2*PI()/4)</f>
        <v>2.0749905317695226E-3</v>
      </c>
    </row>
    <row r="80" spans="19:28">
      <c r="S80" s="18" t="s">
        <v>56</v>
      </c>
      <c r="T80" s="340">
        <v>30</v>
      </c>
      <c r="U80" s="340" t="str">
        <f t="shared" si="2"/>
        <v>004030</v>
      </c>
      <c r="V80" s="17">
        <v>0.24</v>
      </c>
      <c r="X80" s="252" t="s">
        <v>409</v>
      </c>
      <c r="Y80" s="261">
        <v>13</v>
      </c>
      <c r="Z80" s="23" t="str">
        <f t="shared" si="3"/>
        <v>042013</v>
      </c>
      <c r="AA80" s="253">
        <v>13</v>
      </c>
      <c r="AB80" s="249">
        <f t="shared" si="4"/>
        <v>1.3273228961416874E-4</v>
      </c>
    </row>
    <row r="81" spans="19:28">
      <c r="S81" s="18" t="s">
        <v>56</v>
      </c>
      <c r="T81" s="340">
        <v>40</v>
      </c>
      <c r="U81" s="340" t="str">
        <f t="shared" si="2"/>
        <v>004040</v>
      </c>
      <c r="V81" s="17">
        <v>0.3</v>
      </c>
      <c r="X81" s="252"/>
      <c r="Y81" s="261"/>
      <c r="Z81" s="23" t="e">
        <f t="shared" si="3"/>
        <v>#N/A</v>
      </c>
      <c r="AA81" s="253"/>
      <c r="AB81" s="249">
        <f t="shared" si="4"/>
        <v>0</v>
      </c>
    </row>
    <row r="82" spans="19:28">
      <c r="S82" s="18" t="s">
        <v>56</v>
      </c>
      <c r="T82" s="340">
        <v>50</v>
      </c>
      <c r="U82" s="340" t="str">
        <f t="shared" si="2"/>
        <v>004050</v>
      </c>
      <c r="V82" s="17">
        <v>0.39</v>
      </c>
      <c r="X82" s="252"/>
      <c r="Y82" s="261"/>
      <c r="Z82" s="23" t="e">
        <f t="shared" si="3"/>
        <v>#N/A</v>
      </c>
      <c r="AA82" s="253"/>
      <c r="AB82" s="249">
        <f t="shared" si="4"/>
        <v>0</v>
      </c>
    </row>
    <row r="83" spans="19:28">
      <c r="S83" s="252" t="s">
        <v>348</v>
      </c>
      <c r="T83" s="261" t="s">
        <v>406</v>
      </c>
      <c r="U83" s="340" t="str">
        <f t="shared" si="2"/>
        <v>0410PeH50</v>
      </c>
      <c r="V83" s="17">
        <v>1</v>
      </c>
      <c r="X83" s="252"/>
      <c r="Y83" s="261"/>
      <c r="Z83" s="23" t="e">
        <f t="shared" si="3"/>
        <v>#N/A</v>
      </c>
      <c r="AA83" s="253"/>
      <c r="AB83" s="249">
        <f t="shared" si="4"/>
        <v>0</v>
      </c>
    </row>
    <row r="84" spans="19:28">
      <c r="S84" s="18"/>
      <c r="T84" s="340"/>
      <c r="U84" s="340"/>
      <c r="V84" s="17"/>
      <c r="X84" s="252"/>
      <c r="Y84" s="261"/>
      <c r="Z84" s="23" t="e">
        <f t="shared" si="3"/>
        <v>#N/A</v>
      </c>
      <c r="AA84" s="253"/>
      <c r="AB84" s="249">
        <f t="shared" si="4"/>
        <v>0</v>
      </c>
    </row>
    <row r="85" spans="19:28">
      <c r="S85" s="18"/>
      <c r="T85" s="340"/>
      <c r="U85" s="340"/>
      <c r="V85" s="17"/>
      <c r="X85" s="252"/>
      <c r="Y85" s="261"/>
      <c r="Z85" s="23" t="e">
        <f t="shared" si="3"/>
        <v>#N/A</v>
      </c>
      <c r="AA85" s="253"/>
      <c r="AB85" s="249">
        <f t="shared" si="4"/>
        <v>0</v>
      </c>
    </row>
    <row r="86" spans="19:28">
      <c r="S86" s="18"/>
      <c r="T86" s="340"/>
      <c r="U86" s="340"/>
      <c r="V86" s="17"/>
      <c r="X86" s="252"/>
      <c r="Y86" s="261"/>
      <c r="Z86" s="23" t="e">
        <f t="shared" si="3"/>
        <v>#N/A</v>
      </c>
      <c r="AA86" s="253"/>
      <c r="AB86" s="249">
        <f t="shared" si="4"/>
        <v>0</v>
      </c>
    </row>
    <row r="87" spans="19:28">
      <c r="S87" s="18"/>
      <c r="T87" s="340"/>
      <c r="U87" s="340"/>
      <c r="V87" s="17"/>
      <c r="X87" s="252"/>
      <c r="Y87" s="261"/>
      <c r="Z87" s="23" t="e">
        <f t="shared" si="3"/>
        <v>#N/A</v>
      </c>
      <c r="AA87" s="253"/>
      <c r="AB87" s="249">
        <f t="shared" si="4"/>
        <v>0</v>
      </c>
    </row>
    <row r="88" spans="19:28">
      <c r="S88" s="18"/>
      <c r="T88" s="340"/>
      <c r="U88" s="340"/>
      <c r="V88" s="17"/>
      <c r="X88" s="252"/>
      <c r="Y88" s="261"/>
      <c r="Z88" s="23" t="e">
        <f t="shared" si="3"/>
        <v>#N/A</v>
      </c>
      <c r="AA88" s="253"/>
      <c r="AB88" s="249">
        <f t="shared" si="4"/>
        <v>0</v>
      </c>
    </row>
    <row r="89" spans="19:28">
      <c r="S89" s="18"/>
      <c r="T89" s="340"/>
      <c r="U89" s="340"/>
      <c r="V89" s="17"/>
      <c r="X89" s="252"/>
      <c r="Y89" s="261"/>
      <c r="Z89" s="23" t="e">
        <f t="shared" si="3"/>
        <v>#N/A</v>
      </c>
      <c r="AA89" s="253"/>
      <c r="AB89" s="249">
        <f t="shared" si="4"/>
        <v>0</v>
      </c>
    </row>
    <row r="90" spans="19:28">
      <c r="S90" s="18"/>
      <c r="T90" s="340"/>
      <c r="U90" s="340"/>
      <c r="V90" s="17"/>
      <c r="X90" s="252"/>
      <c r="Y90" s="261"/>
      <c r="Z90" s="23" t="e">
        <f t="shared" si="3"/>
        <v>#N/A</v>
      </c>
      <c r="AA90" s="253"/>
      <c r="AB90" s="249">
        <f t="shared" si="4"/>
        <v>0</v>
      </c>
    </row>
    <row r="91" spans="19:28">
      <c r="S91" s="18"/>
      <c r="T91" s="340"/>
      <c r="U91" s="340"/>
      <c r="V91" s="17"/>
      <c r="X91" s="252"/>
      <c r="Y91" s="261"/>
      <c r="Z91" s="23" t="e">
        <f t="shared" si="3"/>
        <v>#N/A</v>
      </c>
      <c r="AA91" s="253"/>
      <c r="AB91" s="249">
        <f t="shared" si="4"/>
        <v>0</v>
      </c>
    </row>
    <row r="92" spans="19:28">
      <c r="S92" s="18"/>
      <c r="T92" s="340"/>
      <c r="U92" s="340"/>
      <c r="V92" s="17"/>
      <c r="X92" s="252"/>
      <c r="Y92" s="261"/>
      <c r="Z92" s="23" t="e">
        <f t="shared" si="3"/>
        <v>#N/A</v>
      </c>
      <c r="AA92" s="253"/>
      <c r="AB92" s="249">
        <f t="shared" si="4"/>
        <v>0</v>
      </c>
    </row>
    <row r="93" spans="19:28">
      <c r="S93" s="18"/>
      <c r="T93" s="340"/>
      <c r="U93" s="340"/>
      <c r="V93" s="17"/>
      <c r="X93" s="252"/>
      <c r="Y93" s="261"/>
      <c r="Z93" s="23" t="e">
        <f t="shared" si="3"/>
        <v>#N/A</v>
      </c>
      <c r="AA93" s="253"/>
      <c r="AB93" s="249">
        <f t="shared" si="4"/>
        <v>0</v>
      </c>
    </row>
    <row r="94" spans="19:28" ht="18.600000000000001" thickBot="1">
      <c r="S94" s="19"/>
      <c r="T94" s="20"/>
      <c r="U94" s="20"/>
      <c r="V94" s="21"/>
      <c r="X94" s="254"/>
      <c r="Y94" s="262"/>
      <c r="Z94" s="23" t="e">
        <f t="shared" si="3"/>
        <v>#N/A</v>
      </c>
      <c r="AA94" s="255"/>
      <c r="AB94" s="256">
        <f>((AA94/1000)^2*PI()/4)</f>
        <v>0</v>
      </c>
    </row>
  </sheetData>
  <sheetProtection algorithmName="SHA-512" hashValue="N/XFhzozAuyHprzcEBzyGnOk2180vs16gjnIyR9HOK8LacoKs2o4hX4wNKYqDup7g+8B57tv/xMVsAgO8s2lyg==" saltValue="HWx74kXddnKEsBMmL2bGHg==" spinCount="100000" sheet="1" objects="1" scenarios="1"/>
  <mergeCells count="1">
    <mergeCell ref="U1:V1"/>
  </mergeCells>
  <phoneticPr fontId="1"/>
  <pageMargins left="0.70866141732283472" right="0.70866141732283472" top="0.74803149606299213" bottom="0.74803149606299213" header="0.31496062992125984" footer="0.31496062992125984"/>
  <pageSetup paperSize="9" scale="27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82B0-C7BA-4982-8D04-106DB73F5874}">
  <sheetPr codeName="Sheet11"/>
  <dimension ref="A1:DD3007"/>
  <sheetViews>
    <sheetView workbookViewId="0">
      <selection activeCell="R8" sqref="R8"/>
    </sheetView>
  </sheetViews>
  <sheetFormatPr defaultColWidth="8.19921875" defaultRowHeight="9.6"/>
  <cols>
    <col min="1" max="1" width="5.09765625" style="28" customWidth="1"/>
    <col min="2" max="2" width="5.09765625" style="29" customWidth="1"/>
    <col min="3" max="108" width="5.09765625" style="28" customWidth="1"/>
    <col min="109" max="260" width="8.19921875" style="28"/>
    <col min="261" max="364" width="5.09765625" style="28" customWidth="1"/>
    <col min="365" max="516" width="8.19921875" style="28"/>
    <col min="517" max="620" width="5.09765625" style="28" customWidth="1"/>
    <col min="621" max="772" width="8.19921875" style="28"/>
    <col min="773" max="876" width="5.09765625" style="28" customWidth="1"/>
    <col min="877" max="1028" width="8.19921875" style="28"/>
    <col min="1029" max="1132" width="5.09765625" style="28" customWidth="1"/>
    <col min="1133" max="1284" width="8.19921875" style="28"/>
    <col min="1285" max="1388" width="5.09765625" style="28" customWidth="1"/>
    <col min="1389" max="1540" width="8.19921875" style="28"/>
    <col min="1541" max="1644" width="5.09765625" style="28" customWidth="1"/>
    <col min="1645" max="1796" width="8.19921875" style="28"/>
    <col min="1797" max="1900" width="5.09765625" style="28" customWidth="1"/>
    <col min="1901" max="2052" width="8.19921875" style="28"/>
    <col min="2053" max="2156" width="5.09765625" style="28" customWidth="1"/>
    <col min="2157" max="2308" width="8.19921875" style="28"/>
    <col min="2309" max="2412" width="5.09765625" style="28" customWidth="1"/>
    <col min="2413" max="2564" width="8.19921875" style="28"/>
    <col min="2565" max="2668" width="5.09765625" style="28" customWidth="1"/>
    <col min="2669" max="2820" width="8.19921875" style="28"/>
    <col min="2821" max="2924" width="5.09765625" style="28" customWidth="1"/>
    <col min="2925" max="3076" width="8.19921875" style="28"/>
    <col min="3077" max="3180" width="5.09765625" style="28" customWidth="1"/>
    <col min="3181" max="3332" width="8.19921875" style="28"/>
    <col min="3333" max="3436" width="5.09765625" style="28" customWidth="1"/>
    <col min="3437" max="3588" width="8.19921875" style="28"/>
    <col min="3589" max="3692" width="5.09765625" style="28" customWidth="1"/>
    <col min="3693" max="3844" width="8.19921875" style="28"/>
    <col min="3845" max="3948" width="5.09765625" style="28" customWidth="1"/>
    <col min="3949" max="4100" width="8.19921875" style="28"/>
    <col min="4101" max="4204" width="5.09765625" style="28" customWidth="1"/>
    <col min="4205" max="4356" width="8.19921875" style="28"/>
    <col min="4357" max="4460" width="5.09765625" style="28" customWidth="1"/>
    <col min="4461" max="4612" width="8.19921875" style="28"/>
    <col min="4613" max="4716" width="5.09765625" style="28" customWidth="1"/>
    <col min="4717" max="4868" width="8.19921875" style="28"/>
    <col min="4869" max="4972" width="5.09765625" style="28" customWidth="1"/>
    <col min="4973" max="5124" width="8.19921875" style="28"/>
    <col min="5125" max="5228" width="5.09765625" style="28" customWidth="1"/>
    <col min="5229" max="5380" width="8.19921875" style="28"/>
    <col min="5381" max="5484" width="5.09765625" style="28" customWidth="1"/>
    <col min="5485" max="5636" width="8.19921875" style="28"/>
    <col min="5637" max="5740" width="5.09765625" style="28" customWidth="1"/>
    <col min="5741" max="5892" width="8.19921875" style="28"/>
    <col min="5893" max="5996" width="5.09765625" style="28" customWidth="1"/>
    <col min="5997" max="6148" width="8.19921875" style="28"/>
    <col min="6149" max="6252" width="5.09765625" style="28" customWidth="1"/>
    <col min="6253" max="6404" width="8.19921875" style="28"/>
    <col min="6405" max="6508" width="5.09765625" style="28" customWidth="1"/>
    <col min="6509" max="6660" width="8.19921875" style="28"/>
    <col min="6661" max="6764" width="5.09765625" style="28" customWidth="1"/>
    <col min="6765" max="6916" width="8.19921875" style="28"/>
    <col min="6917" max="7020" width="5.09765625" style="28" customWidth="1"/>
    <col min="7021" max="7172" width="8.19921875" style="28"/>
    <col min="7173" max="7276" width="5.09765625" style="28" customWidth="1"/>
    <col min="7277" max="7428" width="8.19921875" style="28"/>
    <col min="7429" max="7532" width="5.09765625" style="28" customWidth="1"/>
    <col min="7533" max="7684" width="8.19921875" style="28"/>
    <col min="7685" max="7788" width="5.09765625" style="28" customWidth="1"/>
    <col min="7789" max="7940" width="8.19921875" style="28"/>
    <col min="7941" max="8044" width="5.09765625" style="28" customWidth="1"/>
    <col min="8045" max="8196" width="8.19921875" style="28"/>
    <col min="8197" max="8300" width="5.09765625" style="28" customWidth="1"/>
    <col min="8301" max="8452" width="8.19921875" style="28"/>
    <col min="8453" max="8556" width="5.09765625" style="28" customWidth="1"/>
    <col min="8557" max="8708" width="8.19921875" style="28"/>
    <col min="8709" max="8812" width="5.09765625" style="28" customWidth="1"/>
    <col min="8813" max="8964" width="8.19921875" style="28"/>
    <col min="8965" max="9068" width="5.09765625" style="28" customWidth="1"/>
    <col min="9069" max="9220" width="8.19921875" style="28"/>
    <col min="9221" max="9324" width="5.09765625" style="28" customWidth="1"/>
    <col min="9325" max="9476" width="8.19921875" style="28"/>
    <col min="9477" max="9580" width="5.09765625" style="28" customWidth="1"/>
    <col min="9581" max="9732" width="8.19921875" style="28"/>
    <col min="9733" max="9836" width="5.09765625" style="28" customWidth="1"/>
    <col min="9837" max="9988" width="8.19921875" style="28"/>
    <col min="9989" max="10092" width="5.09765625" style="28" customWidth="1"/>
    <col min="10093" max="10244" width="8.19921875" style="28"/>
    <col min="10245" max="10348" width="5.09765625" style="28" customWidth="1"/>
    <col min="10349" max="10500" width="8.19921875" style="28"/>
    <col min="10501" max="10604" width="5.09765625" style="28" customWidth="1"/>
    <col min="10605" max="10756" width="8.19921875" style="28"/>
    <col min="10757" max="10860" width="5.09765625" style="28" customWidth="1"/>
    <col min="10861" max="11012" width="8.19921875" style="28"/>
    <col min="11013" max="11116" width="5.09765625" style="28" customWidth="1"/>
    <col min="11117" max="11268" width="8.19921875" style="28"/>
    <col min="11269" max="11372" width="5.09765625" style="28" customWidth="1"/>
    <col min="11373" max="11524" width="8.19921875" style="28"/>
    <col min="11525" max="11628" width="5.09765625" style="28" customWidth="1"/>
    <col min="11629" max="11780" width="8.19921875" style="28"/>
    <col min="11781" max="11884" width="5.09765625" style="28" customWidth="1"/>
    <col min="11885" max="12036" width="8.19921875" style="28"/>
    <col min="12037" max="12140" width="5.09765625" style="28" customWidth="1"/>
    <col min="12141" max="12292" width="8.19921875" style="28"/>
    <col min="12293" max="12396" width="5.09765625" style="28" customWidth="1"/>
    <col min="12397" max="12548" width="8.19921875" style="28"/>
    <col min="12549" max="12652" width="5.09765625" style="28" customWidth="1"/>
    <col min="12653" max="12804" width="8.19921875" style="28"/>
    <col min="12805" max="12908" width="5.09765625" style="28" customWidth="1"/>
    <col min="12909" max="13060" width="8.19921875" style="28"/>
    <col min="13061" max="13164" width="5.09765625" style="28" customWidth="1"/>
    <col min="13165" max="13316" width="8.19921875" style="28"/>
    <col min="13317" max="13420" width="5.09765625" style="28" customWidth="1"/>
    <col min="13421" max="13572" width="8.19921875" style="28"/>
    <col min="13573" max="13676" width="5.09765625" style="28" customWidth="1"/>
    <col min="13677" max="13828" width="8.19921875" style="28"/>
    <col min="13829" max="13932" width="5.09765625" style="28" customWidth="1"/>
    <col min="13933" max="14084" width="8.19921875" style="28"/>
    <col min="14085" max="14188" width="5.09765625" style="28" customWidth="1"/>
    <col min="14189" max="14340" width="8.19921875" style="28"/>
    <col min="14341" max="14444" width="5.09765625" style="28" customWidth="1"/>
    <col min="14445" max="14596" width="8.19921875" style="28"/>
    <col min="14597" max="14700" width="5.09765625" style="28" customWidth="1"/>
    <col min="14701" max="14852" width="8.19921875" style="28"/>
    <col min="14853" max="14956" width="5.09765625" style="28" customWidth="1"/>
    <col min="14957" max="15108" width="8.19921875" style="28"/>
    <col min="15109" max="15212" width="5.09765625" style="28" customWidth="1"/>
    <col min="15213" max="15364" width="8.19921875" style="28"/>
    <col min="15365" max="15468" width="5.09765625" style="28" customWidth="1"/>
    <col min="15469" max="15620" width="8.19921875" style="28"/>
    <col min="15621" max="15724" width="5.09765625" style="28" customWidth="1"/>
    <col min="15725" max="15876" width="8.19921875" style="28"/>
    <col min="15877" max="15980" width="5.09765625" style="28" customWidth="1"/>
    <col min="15981" max="16132" width="8.19921875" style="28"/>
    <col min="16133" max="16236" width="5.09765625" style="28" customWidth="1"/>
    <col min="16237" max="16384" width="8.19921875" style="28"/>
  </cols>
  <sheetData>
    <row r="1" spans="1:108" ht="14.1" customHeight="1"/>
    <row r="2" spans="1:108" ht="14.1" customHeight="1" thickBot="1">
      <c r="BK2" s="30" t="s">
        <v>136</v>
      </c>
      <c r="BO2" s="31"/>
      <c r="BR2" s="31" t="s">
        <v>137</v>
      </c>
    </row>
    <row r="3" spans="1:108" ht="33.75" customHeight="1">
      <c r="B3" s="32"/>
      <c r="C3" s="566" t="s">
        <v>138</v>
      </c>
      <c r="D3" s="567"/>
      <c r="E3" s="567"/>
      <c r="F3" s="567"/>
      <c r="G3" s="567"/>
      <c r="H3" s="568"/>
      <c r="I3" s="566" t="s">
        <v>341</v>
      </c>
      <c r="J3" s="568"/>
      <c r="K3" s="566" t="s">
        <v>342</v>
      </c>
      <c r="L3" s="568"/>
      <c r="M3" s="572" t="s">
        <v>139</v>
      </c>
      <c r="N3" s="573"/>
      <c r="O3" s="573"/>
      <c r="P3" s="573"/>
      <c r="Q3" s="573"/>
      <c r="R3" s="573"/>
      <c r="S3" s="573"/>
      <c r="T3" s="573"/>
      <c r="U3" s="574"/>
      <c r="V3" s="569" t="s">
        <v>140</v>
      </c>
      <c r="W3" s="570"/>
      <c r="X3" s="570"/>
      <c r="Y3" s="571"/>
      <c r="Z3" s="566" t="s">
        <v>141</v>
      </c>
      <c r="AA3" s="567"/>
      <c r="AB3" s="568"/>
      <c r="AC3" s="33" t="s">
        <v>142</v>
      </c>
      <c r="AD3" s="34" t="s">
        <v>142</v>
      </c>
      <c r="AE3" s="33" t="s">
        <v>143</v>
      </c>
      <c r="AF3" s="35" t="s">
        <v>144</v>
      </c>
      <c r="AG3" s="35" t="s">
        <v>145</v>
      </c>
      <c r="AH3" s="34" t="s">
        <v>145</v>
      </c>
      <c r="AI3" s="36" t="s">
        <v>146</v>
      </c>
      <c r="AJ3" s="37" t="s">
        <v>146</v>
      </c>
      <c r="AK3" s="33" t="s">
        <v>147</v>
      </c>
      <c r="AL3" s="35" t="s">
        <v>135</v>
      </c>
      <c r="AM3" s="34" t="s">
        <v>135</v>
      </c>
      <c r="AN3" s="33" t="s">
        <v>148</v>
      </c>
      <c r="AO3" s="34" t="s">
        <v>149</v>
      </c>
      <c r="AP3" s="33" t="s">
        <v>150</v>
      </c>
      <c r="AQ3" s="34" t="s">
        <v>151</v>
      </c>
      <c r="AR3" s="33" t="s">
        <v>152</v>
      </c>
      <c r="AS3" s="34" t="s">
        <v>153</v>
      </c>
      <c r="AT3" s="33" t="s">
        <v>154</v>
      </c>
      <c r="AU3" s="35" t="s">
        <v>154</v>
      </c>
      <c r="AV3" s="35" t="s">
        <v>154</v>
      </c>
      <c r="AW3" s="35" t="s">
        <v>154</v>
      </c>
      <c r="AX3" s="34" t="s">
        <v>154</v>
      </c>
      <c r="AY3" s="33" t="s">
        <v>155</v>
      </c>
      <c r="AZ3" s="35" t="s">
        <v>156</v>
      </c>
      <c r="BA3" s="35" t="s">
        <v>156</v>
      </c>
      <c r="BB3" s="35" t="s">
        <v>156</v>
      </c>
      <c r="BC3" s="35" t="s">
        <v>156</v>
      </c>
      <c r="BD3" s="34" t="s">
        <v>156</v>
      </c>
      <c r="BE3" s="33" t="s">
        <v>157</v>
      </c>
      <c r="BF3" s="35" t="s">
        <v>157</v>
      </c>
      <c r="BG3" s="35" t="s">
        <v>157</v>
      </c>
      <c r="BH3" s="34" t="s">
        <v>157</v>
      </c>
      <c r="BI3" s="33" t="s">
        <v>158</v>
      </c>
      <c r="BJ3" s="38" t="s">
        <v>158</v>
      </c>
      <c r="BK3" s="39" t="s">
        <v>159</v>
      </c>
      <c r="BL3" s="40" t="s">
        <v>159</v>
      </c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2"/>
      <c r="CA3" s="42"/>
      <c r="CB3" s="42"/>
      <c r="CC3" s="42"/>
      <c r="CD3" s="41"/>
      <c r="CE3" s="41"/>
      <c r="CF3" s="41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4"/>
    </row>
    <row r="4" spans="1:108" ht="14.1" customHeight="1">
      <c r="B4" s="45" t="s">
        <v>160</v>
      </c>
      <c r="C4" s="46">
        <v>1</v>
      </c>
      <c r="D4" s="47">
        <v>1</v>
      </c>
      <c r="E4" s="47">
        <v>1</v>
      </c>
      <c r="F4" s="47">
        <v>1</v>
      </c>
      <c r="G4" s="47">
        <v>1</v>
      </c>
      <c r="H4" s="48">
        <v>1</v>
      </c>
      <c r="I4" s="46">
        <v>4</v>
      </c>
      <c r="J4" s="48">
        <f>I4</f>
        <v>4</v>
      </c>
      <c r="K4" s="46">
        <v>5</v>
      </c>
      <c r="L4" s="48">
        <f>K4</f>
        <v>5</v>
      </c>
      <c r="M4" s="46">
        <v>8</v>
      </c>
      <c r="N4" s="47">
        <v>8</v>
      </c>
      <c r="O4" s="47">
        <v>8</v>
      </c>
      <c r="P4" s="47">
        <v>8</v>
      </c>
      <c r="Q4" s="48">
        <v>8</v>
      </c>
      <c r="R4" s="48">
        <v>8</v>
      </c>
      <c r="S4" s="48">
        <v>8</v>
      </c>
      <c r="T4" s="48">
        <v>8</v>
      </c>
      <c r="U4" s="48">
        <v>8</v>
      </c>
      <c r="V4" s="49">
        <v>9</v>
      </c>
      <c r="W4" s="50">
        <v>9</v>
      </c>
      <c r="X4" s="50">
        <v>9</v>
      </c>
      <c r="Y4" s="51">
        <v>9</v>
      </c>
      <c r="Z4" s="46">
        <v>10</v>
      </c>
      <c r="AA4" s="47">
        <v>10</v>
      </c>
      <c r="AB4" s="48">
        <v>10</v>
      </c>
      <c r="AC4" s="52">
        <v>11</v>
      </c>
      <c r="AD4" s="53">
        <v>11</v>
      </c>
      <c r="AE4" s="52">
        <v>12</v>
      </c>
      <c r="AF4" s="54">
        <v>13</v>
      </c>
      <c r="AG4" s="54">
        <v>14</v>
      </c>
      <c r="AH4" s="53">
        <v>14</v>
      </c>
      <c r="AI4" s="55">
        <v>15</v>
      </c>
      <c r="AJ4" s="56">
        <v>15</v>
      </c>
      <c r="AK4" s="52">
        <v>16</v>
      </c>
      <c r="AL4" s="54">
        <v>16</v>
      </c>
      <c r="AM4" s="53">
        <v>16</v>
      </c>
      <c r="AN4" s="52">
        <v>18</v>
      </c>
      <c r="AO4" s="53">
        <v>19</v>
      </c>
      <c r="AP4" s="52">
        <v>20</v>
      </c>
      <c r="AQ4" s="53">
        <v>20</v>
      </c>
      <c r="AR4" s="52">
        <v>21</v>
      </c>
      <c r="AS4" s="53">
        <v>22</v>
      </c>
      <c r="AT4" s="52">
        <v>24</v>
      </c>
      <c r="AU4" s="54">
        <v>24</v>
      </c>
      <c r="AV4" s="54">
        <v>24</v>
      </c>
      <c r="AW4" s="54">
        <v>24</v>
      </c>
      <c r="AX4" s="53">
        <v>24</v>
      </c>
      <c r="AY4" s="52">
        <v>26</v>
      </c>
      <c r="AZ4" s="52">
        <v>26</v>
      </c>
      <c r="BA4" s="52">
        <v>26</v>
      </c>
      <c r="BB4" s="52">
        <v>26</v>
      </c>
      <c r="BC4" s="52">
        <v>26</v>
      </c>
      <c r="BD4" s="52">
        <v>26</v>
      </c>
      <c r="BE4" s="52">
        <v>25</v>
      </c>
      <c r="BF4" s="52">
        <v>25</v>
      </c>
      <c r="BG4" s="52">
        <v>25</v>
      </c>
      <c r="BH4" s="52">
        <v>25</v>
      </c>
      <c r="BI4" s="52">
        <v>27</v>
      </c>
      <c r="BJ4" s="57">
        <v>27</v>
      </c>
      <c r="BK4" s="58">
        <v>51</v>
      </c>
      <c r="BL4" s="59">
        <v>51</v>
      </c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60"/>
      <c r="CA4" s="60"/>
      <c r="CB4" s="60"/>
      <c r="CC4" s="60"/>
      <c r="CD4" s="59"/>
      <c r="CE4" s="59"/>
      <c r="CF4" s="59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2"/>
    </row>
    <row r="5" spans="1:108" ht="14.1" customHeight="1" thickBot="1">
      <c r="A5" s="63" t="s">
        <v>161</v>
      </c>
      <c r="B5" s="64" t="s">
        <v>162</v>
      </c>
      <c r="C5" s="65">
        <v>13</v>
      </c>
      <c r="D5" s="66">
        <v>20</v>
      </c>
      <c r="E5" s="66">
        <v>25</v>
      </c>
      <c r="F5" s="66">
        <v>30</v>
      </c>
      <c r="G5" s="66">
        <v>40</v>
      </c>
      <c r="H5" s="67">
        <v>50</v>
      </c>
      <c r="I5" s="65">
        <v>20</v>
      </c>
      <c r="J5" s="67">
        <v>25</v>
      </c>
      <c r="K5" s="65">
        <v>20</v>
      </c>
      <c r="L5" s="67">
        <v>25</v>
      </c>
      <c r="M5" s="65">
        <v>13</v>
      </c>
      <c r="N5" s="66">
        <v>20</v>
      </c>
      <c r="O5" s="66">
        <v>25</v>
      </c>
      <c r="P5" s="66">
        <v>40</v>
      </c>
      <c r="Q5" s="67">
        <v>50</v>
      </c>
      <c r="R5" s="269">
        <v>75</v>
      </c>
      <c r="S5" s="269">
        <v>100</v>
      </c>
      <c r="T5" s="269">
        <v>150</v>
      </c>
      <c r="U5" s="269">
        <v>200</v>
      </c>
      <c r="V5" s="65">
        <v>13</v>
      </c>
      <c r="W5" s="66">
        <v>20</v>
      </c>
      <c r="X5" s="66">
        <v>25</v>
      </c>
      <c r="Y5" s="67">
        <v>40</v>
      </c>
      <c r="Z5" s="65">
        <v>13</v>
      </c>
      <c r="AA5" s="66">
        <v>20</v>
      </c>
      <c r="AB5" s="67">
        <v>25</v>
      </c>
      <c r="AC5" s="68">
        <v>20</v>
      </c>
      <c r="AD5" s="69">
        <v>25</v>
      </c>
      <c r="AE5" s="68">
        <v>13</v>
      </c>
      <c r="AF5" s="70">
        <v>13</v>
      </c>
      <c r="AG5" s="70">
        <v>20</v>
      </c>
      <c r="AH5" s="69">
        <v>25</v>
      </c>
      <c r="AI5" s="68">
        <v>13</v>
      </c>
      <c r="AJ5" s="70">
        <v>20</v>
      </c>
      <c r="AK5" s="68">
        <v>13</v>
      </c>
      <c r="AL5" s="70">
        <v>20</v>
      </c>
      <c r="AM5" s="69">
        <v>25</v>
      </c>
      <c r="AN5" s="68">
        <v>13</v>
      </c>
      <c r="AO5" s="69">
        <v>13</v>
      </c>
      <c r="AP5" s="68">
        <v>13</v>
      </c>
      <c r="AQ5" s="69">
        <v>25</v>
      </c>
      <c r="AR5" s="68">
        <v>20</v>
      </c>
      <c r="AS5" s="69">
        <v>20</v>
      </c>
      <c r="AT5" s="68">
        <v>13</v>
      </c>
      <c r="AU5" s="70">
        <v>20</v>
      </c>
      <c r="AV5" s="70">
        <v>25</v>
      </c>
      <c r="AW5" s="70">
        <v>40</v>
      </c>
      <c r="AX5" s="69">
        <v>50</v>
      </c>
      <c r="AY5" s="68">
        <v>13</v>
      </c>
      <c r="AZ5" s="70">
        <v>20</v>
      </c>
      <c r="BA5" s="70">
        <v>25</v>
      </c>
      <c r="BB5" s="70">
        <v>30</v>
      </c>
      <c r="BC5" s="70">
        <v>40</v>
      </c>
      <c r="BD5" s="69">
        <v>50</v>
      </c>
      <c r="BE5" s="68">
        <v>20</v>
      </c>
      <c r="BF5" s="70">
        <v>30</v>
      </c>
      <c r="BG5" s="70">
        <v>40</v>
      </c>
      <c r="BH5" s="69">
        <v>50</v>
      </c>
      <c r="BI5" s="68">
        <v>20</v>
      </c>
      <c r="BJ5" s="71">
        <v>25</v>
      </c>
      <c r="BK5" s="72">
        <v>13</v>
      </c>
      <c r="BL5" s="73">
        <v>20</v>
      </c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4"/>
    </row>
    <row r="6" spans="1:108" ht="14.1" customHeight="1" thickTop="1" thickBot="1">
      <c r="A6" s="75" t="s">
        <v>163</v>
      </c>
      <c r="B6" s="76" t="s">
        <v>163</v>
      </c>
      <c r="C6" s="77" t="str">
        <f>IF(C4="","",RIGHTB(REPT(0,6)&amp;TEXT(C4*1000+C5,0),6))</f>
        <v>001013</v>
      </c>
      <c r="D6" s="78" t="str">
        <f t="shared" ref="D6:BL6" si="0">IF(D4="","",RIGHTB(REPT(0,6)&amp;TEXT(D4*1000+D5,0),6))</f>
        <v>001020</v>
      </c>
      <c r="E6" s="78" t="str">
        <f t="shared" si="0"/>
        <v>001025</v>
      </c>
      <c r="F6" s="78" t="str">
        <f t="shared" si="0"/>
        <v>001030</v>
      </c>
      <c r="G6" s="78" t="str">
        <f t="shared" si="0"/>
        <v>001040</v>
      </c>
      <c r="H6" s="79" t="str">
        <f t="shared" si="0"/>
        <v>001050</v>
      </c>
      <c r="I6" s="80" t="str">
        <f t="shared" si="0"/>
        <v>004020</v>
      </c>
      <c r="J6" s="79" t="str">
        <f t="shared" si="0"/>
        <v>004025</v>
      </c>
      <c r="K6" s="81" t="str">
        <f t="shared" si="0"/>
        <v>005020</v>
      </c>
      <c r="L6" s="79" t="str">
        <f t="shared" si="0"/>
        <v>005025</v>
      </c>
      <c r="M6" s="81" t="str">
        <f t="shared" si="0"/>
        <v>008013</v>
      </c>
      <c r="N6" s="78" t="str">
        <f t="shared" si="0"/>
        <v>008020</v>
      </c>
      <c r="O6" s="78" t="str">
        <f t="shared" si="0"/>
        <v>008025</v>
      </c>
      <c r="P6" s="78" t="str">
        <f t="shared" si="0"/>
        <v>008040</v>
      </c>
      <c r="Q6" s="79" t="str">
        <f t="shared" si="0"/>
        <v>008050</v>
      </c>
      <c r="R6" s="79" t="str">
        <f t="shared" si="0"/>
        <v>008075</v>
      </c>
      <c r="S6" s="79" t="str">
        <f t="shared" si="0"/>
        <v>008100</v>
      </c>
      <c r="T6" s="79" t="str">
        <f t="shared" si="0"/>
        <v>008150</v>
      </c>
      <c r="U6" s="79" t="str">
        <f t="shared" si="0"/>
        <v>008200</v>
      </c>
      <c r="V6" s="81" t="str">
        <f t="shared" si="0"/>
        <v>009013</v>
      </c>
      <c r="W6" s="78" t="str">
        <f t="shared" si="0"/>
        <v>009020</v>
      </c>
      <c r="X6" s="78" t="str">
        <f t="shared" si="0"/>
        <v>009025</v>
      </c>
      <c r="Y6" s="79" t="str">
        <f t="shared" si="0"/>
        <v>009040</v>
      </c>
      <c r="Z6" s="81" t="str">
        <f t="shared" si="0"/>
        <v>010013</v>
      </c>
      <c r="AA6" s="78" t="str">
        <f t="shared" si="0"/>
        <v>010020</v>
      </c>
      <c r="AB6" s="79" t="str">
        <f t="shared" si="0"/>
        <v>010025</v>
      </c>
      <c r="AC6" s="82" t="str">
        <f t="shared" si="0"/>
        <v>011020</v>
      </c>
      <c r="AD6" s="83" t="str">
        <f t="shared" si="0"/>
        <v>011025</v>
      </c>
      <c r="AE6" s="82" t="str">
        <f t="shared" si="0"/>
        <v>012013</v>
      </c>
      <c r="AF6" s="84" t="str">
        <f t="shared" si="0"/>
        <v>013013</v>
      </c>
      <c r="AG6" s="84" t="str">
        <f t="shared" si="0"/>
        <v>014020</v>
      </c>
      <c r="AH6" s="83" t="str">
        <f t="shared" si="0"/>
        <v>014025</v>
      </c>
      <c r="AI6" s="82" t="str">
        <f t="shared" si="0"/>
        <v>015013</v>
      </c>
      <c r="AJ6" s="84" t="str">
        <f t="shared" si="0"/>
        <v>015020</v>
      </c>
      <c r="AK6" s="82" t="str">
        <f t="shared" si="0"/>
        <v>016013</v>
      </c>
      <c r="AL6" s="84" t="str">
        <f t="shared" si="0"/>
        <v>016020</v>
      </c>
      <c r="AM6" s="83" t="str">
        <f t="shared" si="0"/>
        <v>016025</v>
      </c>
      <c r="AN6" s="82" t="str">
        <f t="shared" si="0"/>
        <v>018013</v>
      </c>
      <c r="AO6" s="83" t="str">
        <f t="shared" si="0"/>
        <v>019013</v>
      </c>
      <c r="AP6" s="82" t="str">
        <f t="shared" si="0"/>
        <v>020013</v>
      </c>
      <c r="AQ6" s="83" t="str">
        <f t="shared" si="0"/>
        <v>020025</v>
      </c>
      <c r="AR6" s="82" t="str">
        <f t="shared" si="0"/>
        <v>021020</v>
      </c>
      <c r="AS6" s="83" t="str">
        <f t="shared" si="0"/>
        <v>022020</v>
      </c>
      <c r="AT6" s="82" t="str">
        <f t="shared" si="0"/>
        <v>024013</v>
      </c>
      <c r="AU6" s="84" t="str">
        <f t="shared" si="0"/>
        <v>024020</v>
      </c>
      <c r="AV6" s="84" t="str">
        <f t="shared" si="0"/>
        <v>024025</v>
      </c>
      <c r="AW6" s="84" t="str">
        <f t="shared" si="0"/>
        <v>024040</v>
      </c>
      <c r="AX6" s="83" t="str">
        <f t="shared" si="0"/>
        <v>024050</v>
      </c>
      <c r="AY6" s="82" t="str">
        <f t="shared" si="0"/>
        <v>026013</v>
      </c>
      <c r="AZ6" s="84" t="str">
        <f t="shared" si="0"/>
        <v>026020</v>
      </c>
      <c r="BA6" s="84" t="str">
        <f t="shared" si="0"/>
        <v>026025</v>
      </c>
      <c r="BB6" s="84" t="str">
        <f t="shared" si="0"/>
        <v>026030</v>
      </c>
      <c r="BC6" s="84" t="str">
        <f t="shared" si="0"/>
        <v>026040</v>
      </c>
      <c r="BD6" s="83" t="str">
        <f t="shared" si="0"/>
        <v>026050</v>
      </c>
      <c r="BE6" s="82" t="str">
        <f t="shared" si="0"/>
        <v>025020</v>
      </c>
      <c r="BF6" s="84" t="str">
        <f t="shared" si="0"/>
        <v>025030</v>
      </c>
      <c r="BG6" s="84" t="str">
        <f t="shared" si="0"/>
        <v>025040</v>
      </c>
      <c r="BH6" s="83" t="str">
        <f t="shared" si="0"/>
        <v>025050</v>
      </c>
      <c r="BI6" s="82" t="str">
        <f t="shared" si="0"/>
        <v>027020</v>
      </c>
      <c r="BJ6" s="85" t="str">
        <f t="shared" si="0"/>
        <v>027025</v>
      </c>
      <c r="BK6" s="86" t="str">
        <f t="shared" si="0"/>
        <v>051013</v>
      </c>
      <c r="BL6" s="83" t="str">
        <f t="shared" si="0"/>
        <v>051020</v>
      </c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7"/>
    </row>
    <row r="7" spans="1:108" ht="14.1" customHeight="1" thickTop="1" thickBot="1">
      <c r="A7" s="88"/>
      <c r="B7" s="89">
        <v>0.1</v>
      </c>
      <c r="C7" s="90">
        <v>0.1</v>
      </c>
      <c r="D7" s="91">
        <v>0.02</v>
      </c>
      <c r="E7" s="91">
        <v>0.01</v>
      </c>
      <c r="F7" s="91">
        <v>0</v>
      </c>
      <c r="G7" s="91">
        <v>0</v>
      </c>
      <c r="H7" s="92">
        <v>0</v>
      </c>
      <c r="I7" s="93">
        <v>0.03</v>
      </c>
      <c r="J7" s="92">
        <v>7.5514668405242109E-4</v>
      </c>
      <c r="K7" s="90">
        <v>7.0000000000000007E-2</v>
      </c>
      <c r="L7" s="92">
        <v>5.7194717735461226E-2</v>
      </c>
      <c r="M7" s="94">
        <v>0.13</v>
      </c>
      <c r="N7" s="95">
        <v>0.03</v>
      </c>
      <c r="O7" s="95">
        <v>0.02</v>
      </c>
      <c r="P7" s="95">
        <v>0</v>
      </c>
      <c r="Q7" s="96">
        <v>0</v>
      </c>
      <c r="R7" s="270">
        <v>0</v>
      </c>
      <c r="S7" s="270">
        <v>0</v>
      </c>
      <c r="T7" s="270">
        <v>0</v>
      </c>
      <c r="U7" s="270">
        <v>0</v>
      </c>
      <c r="V7" s="90">
        <v>0.37</v>
      </c>
      <c r="W7" s="91">
        <v>0.38</v>
      </c>
      <c r="X7" s="91">
        <v>0.25</v>
      </c>
      <c r="Y7" s="92">
        <v>0.45</v>
      </c>
      <c r="Z7" s="94">
        <v>0.91</v>
      </c>
      <c r="AA7" s="95">
        <v>0.76</v>
      </c>
      <c r="AB7" s="96">
        <v>0.72</v>
      </c>
      <c r="AC7" s="97">
        <v>7.0000000000000007E-2</v>
      </c>
      <c r="AD7" s="97">
        <v>0.02</v>
      </c>
      <c r="AE7" s="97">
        <v>0.46</v>
      </c>
      <c r="AF7" s="97">
        <v>0.43</v>
      </c>
      <c r="AG7" s="98">
        <v>0.16</v>
      </c>
      <c r="AH7" s="98">
        <v>0.11</v>
      </c>
      <c r="AI7" s="98">
        <v>0.41</v>
      </c>
      <c r="AJ7" s="98">
        <v>7.0000000000000007E-2</v>
      </c>
      <c r="AK7" s="98">
        <v>0.24</v>
      </c>
      <c r="AL7" s="98">
        <v>0.06</v>
      </c>
      <c r="AM7" s="98">
        <v>0.03</v>
      </c>
      <c r="AN7" s="98">
        <v>0.2</v>
      </c>
      <c r="AO7" s="98">
        <v>0.39</v>
      </c>
      <c r="AP7" s="98">
        <v>0.73</v>
      </c>
      <c r="AQ7" s="98">
        <v>0.04</v>
      </c>
      <c r="AR7" s="98">
        <v>0.54</v>
      </c>
      <c r="AS7" s="98">
        <v>2.2799999999999998</v>
      </c>
      <c r="AT7" s="98">
        <v>0.12</v>
      </c>
      <c r="AU7" s="98">
        <v>0.08</v>
      </c>
      <c r="AV7" s="98">
        <v>0.04</v>
      </c>
      <c r="AW7" s="98">
        <v>0.01</v>
      </c>
      <c r="AX7" s="98">
        <v>0</v>
      </c>
      <c r="AY7" s="98">
        <v>0.09</v>
      </c>
      <c r="AZ7" s="98">
        <v>0.09</v>
      </c>
      <c r="BA7" s="98">
        <v>0.05</v>
      </c>
      <c r="BB7" s="98">
        <v>0.01</v>
      </c>
      <c r="BC7" s="98">
        <v>0</v>
      </c>
      <c r="BD7" s="98">
        <v>0</v>
      </c>
      <c r="BE7" s="98">
        <v>0.45</v>
      </c>
      <c r="BF7" s="98">
        <v>0.04</v>
      </c>
      <c r="BG7" s="98">
        <v>0.03</v>
      </c>
      <c r="BH7" s="98">
        <v>0.01</v>
      </c>
      <c r="BI7" s="98">
        <v>5.29</v>
      </c>
      <c r="BJ7" s="99">
        <v>3.46</v>
      </c>
      <c r="BK7" s="100">
        <v>0.35</v>
      </c>
      <c r="BL7" s="91">
        <v>0.1</v>
      </c>
      <c r="BM7" s="91"/>
      <c r="BN7" s="91"/>
      <c r="BO7" s="91"/>
      <c r="BP7" s="91"/>
      <c r="BQ7" s="91"/>
      <c r="BR7" s="91"/>
      <c r="BS7" s="91"/>
      <c r="BT7" s="91"/>
      <c r="BU7" s="95"/>
      <c r="BV7" s="95"/>
      <c r="BW7" s="95"/>
      <c r="BX7" s="95"/>
      <c r="BY7" s="95"/>
      <c r="BZ7" s="91"/>
      <c r="CA7" s="91"/>
      <c r="CB7" s="91"/>
      <c r="CC7" s="91"/>
      <c r="CD7" s="95"/>
      <c r="CE7" s="95"/>
      <c r="CF7" s="95"/>
      <c r="CG7" s="91"/>
      <c r="CH7" s="91"/>
      <c r="CI7" s="91"/>
      <c r="CJ7" s="91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101"/>
    </row>
    <row r="8" spans="1:108" ht="14.1" customHeight="1" thickTop="1" thickBot="1">
      <c r="A8" s="102"/>
      <c r="B8" s="103">
        <v>0.2</v>
      </c>
      <c r="C8" s="104">
        <v>0.35</v>
      </c>
      <c r="D8" s="105">
        <v>0.08</v>
      </c>
      <c r="E8" s="105">
        <v>0.03</v>
      </c>
      <c r="F8" s="105">
        <v>0.02</v>
      </c>
      <c r="G8" s="105">
        <v>0.01</v>
      </c>
      <c r="H8" s="106">
        <v>0</v>
      </c>
      <c r="I8" s="107">
        <v>0.1</v>
      </c>
      <c r="J8" s="106">
        <v>3.0767960468678643E-3</v>
      </c>
      <c r="K8" s="104">
        <v>0.21</v>
      </c>
      <c r="L8" s="106">
        <v>0.17458792929529496</v>
      </c>
      <c r="M8" s="108">
        <v>0.52</v>
      </c>
      <c r="N8" s="109">
        <v>0.11</v>
      </c>
      <c r="O8" s="109">
        <v>0.08</v>
      </c>
      <c r="P8" s="109">
        <v>0.01</v>
      </c>
      <c r="Q8" s="110">
        <v>0</v>
      </c>
      <c r="R8" s="270">
        <v>5.7619600000000006E-4</v>
      </c>
      <c r="S8" s="270">
        <v>2.0087600000000003E-4</v>
      </c>
      <c r="T8" s="270">
        <v>0</v>
      </c>
      <c r="U8" s="270">
        <v>0</v>
      </c>
      <c r="V8" s="104">
        <v>0.88</v>
      </c>
      <c r="W8" s="105">
        <v>0.42</v>
      </c>
      <c r="X8" s="105">
        <v>0.27</v>
      </c>
      <c r="Y8" s="106">
        <v>0.47</v>
      </c>
      <c r="Z8" s="108">
        <v>1.05</v>
      </c>
      <c r="AA8" s="109">
        <v>0.98</v>
      </c>
      <c r="AB8" s="110">
        <v>0.85</v>
      </c>
      <c r="AC8" s="111">
        <v>0.28000000000000003</v>
      </c>
      <c r="AD8" s="111">
        <v>0.1</v>
      </c>
      <c r="AE8" s="111">
        <v>1.79</v>
      </c>
      <c r="AF8" s="111">
        <v>1.49</v>
      </c>
      <c r="AG8" s="112">
        <v>0.54</v>
      </c>
      <c r="AH8" s="112">
        <v>0.39</v>
      </c>
      <c r="AI8" s="112">
        <v>1.85</v>
      </c>
      <c r="AJ8" s="112">
        <v>0.3</v>
      </c>
      <c r="AK8" s="112">
        <v>1.01</v>
      </c>
      <c r="AL8" s="112">
        <v>0.23</v>
      </c>
      <c r="AM8" s="112">
        <v>0.11</v>
      </c>
      <c r="AN8" s="112">
        <v>0.82</v>
      </c>
      <c r="AO8" s="112">
        <v>1.55</v>
      </c>
      <c r="AP8" s="112">
        <v>3.16</v>
      </c>
      <c r="AQ8" s="112">
        <v>0.19</v>
      </c>
      <c r="AR8" s="112">
        <v>0.68</v>
      </c>
      <c r="AS8" s="112">
        <v>2.67</v>
      </c>
      <c r="AT8" s="112">
        <v>0.5</v>
      </c>
      <c r="AU8" s="112">
        <v>0.31</v>
      </c>
      <c r="AV8" s="112">
        <v>0.16</v>
      </c>
      <c r="AW8" s="112">
        <v>0.03</v>
      </c>
      <c r="AX8" s="112">
        <v>0.01</v>
      </c>
      <c r="AY8" s="112">
        <v>0.37</v>
      </c>
      <c r="AZ8" s="112">
        <v>0.36</v>
      </c>
      <c r="BA8" s="112">
        <v>0.17</v>
      </c>
      <c r="BB8" s="112">
        <v>0.04</v>
      </c>
      <c r="BC8" s="112">
        <v>0.01</v>
      </c>
      <c r="BD8" s="112">
        <v>0</v>
      </c>
      <c r="BE8" s="112">
        <v>1.55</v>
      </c>
      <c r="BF8" s="112">
        <v>0.14000000000000001</v>
      </c>
      <c r="BG8" s="112">
        <v>0.08</v>
      </c>
      <c r="BH8" s="112">
        <v>0.04</v>
      </c>
      <c r="BI8" s="112">
        <v>4.37</v>
      </c>
      <c r="BJ8" s="113">
        <v>2.59</v>
      </c>
      <c r="BK8" s="114">
        <v>0.51</v>
      </c>
      <c r="BL8" s="105">
        <v>0.2</v>
      </c>
      <c r="BM8" s="105"/>
      <c r="BN8" s="105"/>
      <c r="BO8" s="105"/>
      <c r="BP8" s="105"/>
      <c r="BQ8" s="105"/>
      <c r="BR8" s="105"/>
      <c r="BS8" s="105"/>
      <c r="BT8" s="105"/>
      <c r="BU8" s="109"/>
      <c r="BV8" s="109"/>
      <c r="BW8" s="109"/>
      <c r="BX8" s="109"/>
      <c r="BY8" s="109"/>
      <c r="BZ8" s="105"/>
      <c r="CA8" s="105"/>
      <c r="CB8" s="105"/>
      <c r="CC8" s="105"/>
      <c r="CD8" s="109"/>
      <c r="CE8" s="109"/>
      <c r="CF8" s="109"/>
      <c r="CG8" s="105"/>
      <c r="CH8" s="105"/>
      <c r="CI8" s="105"/>
      <c r="CJ8" s="105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15"/>
    </row>
    <row r="9" spans="1:108" ht="14.1" customHeight="1" thickTop="1" thickBot="1">
      <c r="A9" s="102"/>
      <c r="B9" s="103">
        <v>0.3</v>
      </c>
      <c r="C9" s="104">
        <v>0.73</v>
      </c>
      <c r="D9" s="105">
        <v>0.17</v>
      </c>
      <c r="E9" s="105">
        <v>7.0000000000000007E-2</v>
      </c>
      <c r="F9" s="105">
        <v>0.04</v>
      </c>
      <c r="G9" s="105">
        <v>0.01</v>
      </c>
      <c r="H9" s="106">
        <v>0.01</v>
      </c>
      <c r="I9" s="107">
        <v>0.23</v>
      </c>
      <c r="J9" s="106">
        <v>6.9978600776395856E-3</v>
      </c>
      <c r="K9" s="104">
        <v>0.41</v>
      </c>
      <c r="L9" s="106">
        <v>0.33536762949404236</v>
      </c>
      <c r="M9" s="108">
        <v>1.1599999999999999</v>
      </c>
      <c r="N9" s="109">
        <v>0.24</v>
      </c>
      <c r="O9" s="109">
        <v>0.18</v>
      </c>
      <c r="P9" s="109">
        <v>0.02</v>
      </c>
      <c r="Q9" s="110">
        <v>0</v>
      </c>
      <c r="R9" s="270">
        <v>1.296441E-3</v>
      </c>
      <c r="S9" s="270">
        <v>4.5197100000000001E-4</v>
      </c>
      <c r="T9" s="270">
        <v>0</v>
      </c>
      <c r="U9" s="270">
        <v>0</v>
      </c>
      <c r="V9" s="104">
        <v>1.89</v>
      </c>
      <c r="W9" s="105">
        <v>0.52</v>
      </c>
      <c r="X9" s="105">
        <v>0.3</v>
      </c>
      <c r="Y9" s="106">
        <v>0.49</v>
      </c>
      <c r="Z9" s="108">
        <v>1.39</v>
      </c>
      <c r="AA9" s="109">
        <v>1.1599999999999999</v>
      </c>
      <c r="AB9" s="110">
        <v>0.97</v>
      </c>
      <c r="AC9" s="111">
        <v>0.63</v>
      </c>
      <c r="AD9" s="111">
        <v>0.22</v>
      </c>
      <c r="AE9" s="111">
        <v>3.95</v>
      </c>
      <c r="AF9" s="111">
        <v>3.08</v>
      </c>
      <c r="AG9" s="112">
        <v>1.1200000000000001</v>
      </c>
      <c r="AH9" s="112">
        <v>0.82</v>
      </c>
      <c r="AI9" s="112">
        <v>4.45</v>
      </c>
      <c r="AJ9" s="112">
        <v>0.69</v>
      </c>
      <c r="AK9" s="112">
        <v>2.31</v>
      </c>
      <c r="AL9" s="112">
        <v>0.52</v>
      </c>
      <c r="AM9" s="112">
        <v>0.26</v>
      </c>
      <c r="AN9" s="112">
        <v>1.87</v>
      </c>
      <c r="AO9" s="112">
        <v>3.45</v>
      </c>
      <c r="AP9" s="112">
        <v>7.46</v>
      </c>
      <c r="AQ9" s="112">
        <v>0.43</v>
      </c>
      <c r="AR9" s="112">
        <v>0.84</v>
      </c>
      <c r="AS9" s="112">
        <v>3.02</v>
      </c>
      <c r="AT9" s="112">
        <v>1.1399999999999999</v>
      </c>
      <c r="AU9" s="112">
        <v>0.67</v>
      </c>
      <c r="AV9" s="112">
        <v>0.35</v>
      </c>
      <c r="AW9" s="112">
        <v>7.0000000000000007E-2</v>
      </c>
      <c r="AX9" s="112">
        <v>0.01</v>
      </c>
      <c r="AY9" s="112">
        <v>0.84</v>
      </c>
      <c r="AZ9" s="112">
        <v>0.79</v>
      </c>
      <c r="BA9" s="112">
        <v>0.36</v>
      </c>
      <c r="BB9" s="112">
        <v>0.08</v>
      </c>
      <c r="BC9" s="112">
        <v>0.02</v>
      </c>
      <c r="BD9" s="112">
        <v>0</v>
      </c>
      <c r="BE9" s="112">
        <v>3.18</v>
      </c>
      <c r="BF9" s="112">
        <v>0.31</v>
      </c>
      <c r="BG9" s="112">
        <v>0.16</v>
      </c>
      <c r="BH9" s="112">
        <v>0.09</v>
      </c>
      <c r="BI9" s="112">
        <v>3.67</v>
      </c>
      <c r="BJ9" s="113">
        <v>1.9</v>
      </c>
      <c r="BK9" s="114">
        <v>0.63</v>
      </c>
      <c r="BL9" s="105">
        <v>0.3</v>
      </c>
      <c r="BM9" s="105"/>
      <c r="BN9" s="105"/>
      <c r="BO9" s="105"/>
      <c r="BP9" s="105"/>
      <c r="BQ9" s="105"/>
      <c r="BR9" s="105"/>
      <c r="BS9" s="105"/>
      <c r="BT9" s="105"/>
      <c r="BU9" s="109"/>
      <c r="BV9" s="109"/>
      <c r="BW9" s="109"/>
      <c r="BX9" s="109"/>
      <c r="BY9" s="109"/>
      <c r="BZ9" s="105"/>
      <c r="CA9" s="105"/>
      <c r="CB9" s="105"/>
      <c r="CC9" s="105"/>
      <c r="CD9" s="109"/>
      <c r="CE9" s="109"/>
      <c r="CF9" s="109"/>
      <c r="CG9" s="105"/>
      <c r="CH9" s="105"/>
      <c r="CI9" s="105"/>
      <c r="CJ9" s="105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15"/>
    </row>
    <row r="10" spans="1:108" ht="14.1" customHeight="1" thickTop="1" thickBot="1">
      <c r="A10" s="102"/>
      <c r="B10" s="116">
        <v>0.4</v>
      </c>
      <c r="C10" s="117">
        <v>1.23</v>
      </c>
      <c r="D10" s="118">
        <v>0.3</v>
      </c>
      <c r="E10" s="118">
        <v>0.12</v>
      </c>
      <c r="F10" s="118">
        <v>7.0000000000000007E-2</v>
      </c>
      <c r="G10" s="118">
        <v>0.02</v>
      </c>
      <c r="H10" s="119">
        <v>0.01</v>
      </c>
      <c r="I10" s="120">
        <v>0.39</v>
      </c>
      <c r="J10" s="119">
        <v>1.253620536770384E-2</v>
      </c>
      <c r="K10" s="117">
        <v>0.67</v>
      </c>
      <c r="L10" s="119">
        <v>0.53293286972059783</v>
      </c>
      <c r="M10" s="121">
        <v>2.06</v>
      </c>
      <c r="N10" s="122">
        <v>0.43</v>
      </c>
      <c r="O10" s="122">
        <v>0.31</v>
      </c>
      <c r="P10" s="122">
        <v>0.03</v>
      </c>
      <c r="Q10" s="123">
        <v>0.01</v>
      </c>
      <c r="R10" s="270">
        <v>2.3047840000000003E-3</v>
      </c>
      <c r="S10" s="270">
        <v>8.0350400000000013E-4</v>
      </c>
      <c r="T10" s="270">
        <v>0</v>
      </c>
      <c r="U10" s="270">
        <v>0</v>
      </c>
      <c r="V10" s="117">
        <v>3.15</v>
      </c>
      <c r="W10" s="118">
        <v>0.67</v>
      </c>
      <c r="X10" s="118">
        <v>0.35</v>
      </c>
      <c r="Y10" s="119">
        <v>0.51</v>
      </c>
      <c r="Z10" s="121">
        <v>1.8</v>
      </c>
      <c r="AA10" s="122">
        <v>1.36</v>
      </c>
      <c r="AB10" s="123">
        <v>1.07</v>
      </c>
      <c r="AC10" s="124">
        <v>1.1100000000000001</v>
      </c>
      <c r="AD10" s="124">
        <v>0.38</v>
      </c>
      <c r="AE10" s="124">
        <v>6.92</v>
      </c>
      <c r="AF10" s="124">
        <v>5.16</v>
      </c>
      <c r="AG10" s="125">
        <v>1.89</v>
      </c>
      <c r="AH10" s="125">
        <v>1.39</v>
      </c>
      <c r="AI10" s="125">
        <v>8.2899999999999991</v>
      </c>
      <c r="AJ10" s="125">
        <v>1.25</v>
      </c>
      <c r="AK10" s="125">
        <v>4.17</v>
      </c>
      <c r="AL10" s="125">
        <v>0.92</v>
      </c>
      <c r="AM10" s="125">
        <v>0.47</v>
      </c>
      <c r="AN10" s="125">
        <v>3.37</v>
      </c>
      <c r="AO10" s="125">
        <v>6.1</v>
      </c>
      <c r="AP10" s="125"/>
      <c r="AQ10" s="125">
        <v>0.79</v>
      </c>
      <c r="AR10" s="125">
        <v>1.03</v>
      </c>
      <c r="AS10" s="125">
        <v>3.36</v>
      </c>
      <c r="AT10" s="125">
        <v>2.0699999999999998</v>
      </c>
      <c r="AU10" s="125">
        <v>1.1599999999999999</v>
      </c>
      <c r="AV10" s="125">
        <v>0.62</v>
      </c>
      <c r="AW10" s="125">
        <v>0.12</v>
      </c>
      <c r="AX10" s="125">
        <v>0.02</v>
      </c>
      <c r="AY10" s="125">
        <v>1.49</v>
      </c>
      <c r="AZ10" s="125">
        <v>1.37</v>
      </c>
      <c r="BA10" s="125">
        <v>0.61</v>
      </c>
      <c r="BB10" s="125">
        <v>0.15</v>
      </c>
      <c r="BC10" s="125">
        <v>0.03</v>
      </c>
      <c r="BD10" s="125">
        <v>0.01</v>
      </c>
      <c r="BE10" s="125">
        <v>5.31</v>
      </c>
      <c r="BF10" s="125">
        <v>0.53</v>
      </c>
      <c r="BG10" s="125">
        <v>0.26</v>
      </c>
      <c r="BH10" s="125">
        <v>0.16</v>
      </c>
      <c r="BI10" s="125">
        <v>3.19</v>
      </c>
      <c r="BJ10" s="126">
        <v>1.37</v>
      </c>
      <c r="BK10" s="127">
        <v>0.73</v>
      </c>
      <c r="BL10" s="118">
        <v>0.39</v>
      </c>
      <c r="BM10" s="118"/>
      <c r="BN10" s="118"/>
      <c r="BO10" s="118"/>
      <c r="BP10" s="118"/>
      <c r="BQ10" s="118"/>
      <c r="BR10" s="118"/>
      <c r="BS10" s="118"/>
      <c r="BT10" s="118"/>
      <c r="BU10" s="122"/>
      <c r="BV10" s="122"/>
      <c r="BW10" s="122"/>
      <c r="BX10" s="122"/>
      <c r="BY10" s="122"/>
      <c r="BZ10" s="118"/>
      <c r="CA10" s="118"/>
      <c r="CB10" s="118"/>
      <c r="CC10" s="118"/>
      <c r="CD10" s="122"/>
      <c r="CE10" s="122"/>
      <c r="CF10" s="122"/>
      <c r="CG10" s="118"/>
      <c r="CH10" s="118"/>
      <c r="CI10" s="118"/>
      <c r="CJ10" s="118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8"/>
    </row>
    <row r="11" spans="1:108" ht="14.1" customHeight="1" thickTop="1" thickBot="1">
      <c r="A11" s="102"/>
      <c r="B11" s="103">
        <v>0.5</v>
      </c>
      <c r="C11" s="104">
        <v>1.84</v>
      </c>
      <c r="D11" s="105">
        <v>0.47</v>
      </c>
      <c r="E11" s="105">
        <v>0.18</v>
      </c>
      <c r="F11" s="105">
        <v>0.1</v>
      </c>
      <c r="G11" s="105">
        <v>0.03</v>
      </c>
      <c r="H11" s="106">
        <v>0.02</v>
      </c>
      <c r="I11" s="107">
        <v>0.6</v>
      </c>
      <c r="J11" s="106">
        <v>1.970443245690915E-2</v>
      </c>
      <c r="K11" s="104">
        <v>0.98</v>
      </c>
      <c r="L11" s="106">
        <v>0.76330415774749671</v>
      </c>
      <c r="M11" s="108">
        <v>3.22</v>
      </c>
      <c r="N11" s="109">
        <v>0.67</v>
      </c>
      <c r="O11" s="109">
        <v>0.49</v>
      </c>
      <c r="P11" s="109">
        <v>0.05</v>
      </c>
      <c r="Q11" s="110">
        <v>0.01</v>
      </c>
      <c r="R11" s="270">
        <v>3.601225E-3</v>
      </c>
      <c r="S11" s="270">
        <v>1.255475E-3</v>
      </c>
      <c r="T11" s="270">
        <v>0</v>
      </c>
      <c r="U11" s="270">
        <v>0</v>
      </c>
      <c r="V11" s="104">
        <v>4.59</v>
      </c>
      <c r="W11" s="105">
        <v>0.88</v>
      </c>
      <c r="X11" s="105">
        <v>0.41</v>
      </c>
      <c r="Y11" s="106">
        <v>0.54</v>
      </c>
      <c r="Z11" s="108">
        <v>2.25</v>
      </c>
      <c r="AA11" s="109">
        <v>1.58</v>
      </c>
      <c r="AB11" s="110">
        <v>1.18</v>
      </c>
      <c r="AC11" s="111">
        <v>1.72</v>
      </c>
      <c r="AD11" s="111">
        <v>0.6</v>
      </c>
      <c r="AE11" s="111">
        <v>10.69</v>
      </c>
      <c r="AF11" s="111">
        <v>7.69</v>
      </c>
      <c r="AG11" s="112">
        <v>2.82</v>
      </c>
      <c r="AH11" s="112">
        <v>2.11</v>
      </c>
      <c r="AI11" s="112"/>
      <c r="AJ11" s="112">
        <v>1.98</v>
      </c>
      <c r="AK11" s="112">
        <v>6.59</v>
      </c>
      <c r="AL11" s="112">
        <v>1.44</v>
      </c>
      <c r="AM11" s="112">
        <v>0.76</v>
      </c>
      <c r="AN11" s="112">
        <v>5.31</v>
      </c>
      <c r="AO11" s="112">
        <v>9.49</v>
      </c>
      <c r="AP11" s="112"/>
      <c r="AQ11" s="112">
        <v>1.26</v>
      </c>
      <c r="AR11" s="112">
        <v>1.25</v>
      </c>
      <c r="AS11" s="112">
        <v>3.69</v>
      </c>
      <c r="AT11" s="112">
        <v>3.27</v>
      </c>
      <c r="AU11" s="112">
        <v>1.78</v>
      </c>
      <c r="AV11" s="112">
        <v>0.95</v>
      </c>
      <c r="AW11" s="112">
        <v>0.18</v>
      </c>
      <c r="AX11" s="112">
        <v>0.03</v>
      </c>
      <c r="AY11" s="112">
        <v>2.33</v>
      </c>
      <c r="AZ11" s="112">
        <v>2.12</v>
      </c>
      <c r="BA11" s="112">
        <v>0.92</v>
      </c>
      <c r="BB11" s="112">
        <v>0.24</v>
      </c>
      <c r="BC11" s="112">
        <v>0.05</v>
      </c>
      <c r="BD11" s="112">
        <v>0.01</v>
      </c>
      <c r="BE11" s="112">
        <v>7.91</v>
      </c>
      <c r="BF11" s="112">
        <v>0.8</v>
      </c>
      <c r="BG11" s="112">
        <v>0.38</v>
      </c>
      <c r="BH11" s="112">
        <v>0.24</v>
      </c>
      <c r="BI11" s="112">
        <v>2.91</v>
      </c>
      <c r="BJ11" s="113">
        <v>1</v>
      </c>
      <c r="BK11" s="114">
        <v>0.82</v>
      </c>
      <c r="BL11" s="105">
        <v>0.48</v>
      </c>
      <c r="BM11" s="105"/>
      <c r="BN11" s="105"/>
      <c r="BO11" s="105"/>
      <c r="BP11" s="105"/>
      <c r="BQ11" s="105"/>
      <c r="BR11" s="105"/>
      <c r="BS11" s="105"/>
      <c r="BT11" s="105"/>
      <c r="BU11" s="109"/>
      <c r="BV11" s="109"/>
      <c r="BW11" s="109"/>
      <c r="BX11" s="109"/>
      <c r="BY11" s="109"/>
      <c r="BZ11" s="105"/>
      <c r="CA11" s="105"/>
      <c r="CB11" s="105"/>
      <c r="CC11" s="105"/>
      <c r="CD11" s="109"/>
      <c r="CE11" s="109"/>
      <c r="CF11" s="109"/>
      <c r="CG11" s="105"/>
      <c r="CH11" s="105"/>
      <c r="CI11" s="105"/>
      <c r="CJ11" s="105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15"/>
    </row>
    <row r="12" spans="1:108" ht="14.1" customHeight="1" thickTop="1" thickBot="1">
      <c r="A12" s="102"/>
      <c r="B12" s="129">
        <v>0.6</v>
      </c>
      <c r="C12" s="130">
        <v>2.56</v>
      </c>
      <c r="D12" s="131">
        <v>0.67</v>
      </c>
      <c r="E12" s="131">
        <v>0.26</v>
      </c>
      <c r="F12" s="131">
        <v>0.15</v>
      </c>
      <c r="G12" s="131">
        <v>0.05</v>
      </c>
      <c r="H12" s="132">
        <v>0.02</v>
      </c>
      <c r="I12" s="133">
        <v>0.85</v>
      </c>
      <c r="J12" s="132">
        <v>2.8512325721768352E-2</v>
      </c>
      <c r="K12" s="130">
        <v>1.33</v>
      </c>
      <c r="L12" s="132">
        <v>1.0237158658051102</v>
      </c>
      <c r="M12" s="134">
        <v>4.6399999999999997</v>
      </c>
      <c r="N12" s="135">
        <v>0.97</v>
      </c>
      <c r="O12" s="135">
        <v>0.7</v>
      </c>
      <c r="P12" s="135">
        <v>0.08</v>
      </c>
      <c r="Q12" s="136">
        <v>0.01</v>
      </c>
      <c r="R12" s="270">
        <v>5.1857639999999998E-3</v>
      </c>
      <c r="S12" s="270">
        <v>1.8078840000000001E-3</v>
      </c>
      <c r="T12" s="270">
        <v>0</v>
      </c>
      <c r="U12" s="270">
        <v>0</v>
      </c>
      <c r="V12" s="130">
        <v>6.35</v>
      </c>
      <c r="W12" s="131">
        <v>1.1399999999999999</v>
      </c>
      <c r="X12" s="131">
        <v>0.49</v>
      </c>
      <c r="Y12" s="132">
        <v>0.56000000000000005</v>
      </c>
      <c r="Z12" s="134">
        <v>2.8</v>
      </c>
      <c r="AA12" s="135">
        <v>1.82</v>
      </c>
      <c r="AB12" s="136">
        <v>1.29</v>
      </c>
      <c r="AC12" s="137">
        <v>2.46</v>
      </c>
      <c r="AD12" s="137">
        <v>0.86</v>
      </c>
      <c r="AE12" s="137"/>
      <c r="AF12" s="137">
        <v>10.65</v>
      </c>
      <c r="AG12" s="138">
        <v>3.92</v>
      </c>
      <c r="AH12" s="138">
        <v>2.95</v>
      </c>
      <c r="AI12" s="138"/>
      <c r="AJ12" s="138">
        <v>2.88</v>
      </c>
      <c r="AK12" s="138">
        <v>9.58</v>
      </c>
      <c r="AL12" s="138">
        <v>2.0699999999999998</v>
      </c>
      <c r="AM12" s="138">
        <v>1.1100000000000001</v>
      </c>
      <c r="AN12" s="138">
        <v>7.71</v>
      </c>
      <c r="AO12" s="138"/>
      <c r="AP12" s="138"/>
      <c r="AQ12" s="138">
        <v>1.84</v>
      </c>
      <c r="AR12" s="138">
        <v>1.51</v>
      </c>
      <c r="AS12" s="138">
        <v>4.01</v>
      </c>
      <c r="AT12" s="138">
        <v>4.7699999999999996</v>
      </c>
      <c r="AU12" s="138">
        <v>2.52</v>
      </c>
      <c r="AV12" s="138">
        <v>1.34</v>
      </c>
      <c r="AW12" s="138">
        <v>0.25</v>
      </c>
      <c r="AX12" s="138">
        <v>0.05</v>
      </c>
      <c r="AY12" s="138">
        <v>3.36</v>
      </c>
      <c r="AZ12" s="138">
        <v>3.02</v>
      </c>
      <c r="BA12" s="138">
        <v>1.28</v>
      </c>
      <c r="BB12" s="138">
        <v>0.35</v>
      </c>
      <c r="BC12" s="138">
        <v>7.0000000000000007E-2</v>
      </c>
      <c r="BD12" s="138">
        <v>0.02</v>
      </c>
      <c r="BE12" s="138"/>
      <c r="BF12" s="138">
        <v>1.1299999999999999</v>
      </c>
      <c r="BG12" s="138">
        <v>0.52</v>
      </c>
      <c r="BH12" s="138">
        <v>0.33</v>
      </c>
      <c r="BI12" s="138">
        <v>2.83</v>
      </c>
      <c r="BJ12" s="139">
        <v>0.78</v>
      </c>
      <c r="BK12" s="140">
        <v>0.91</v>
      </c>
      <c r="BL12" s="131">
        <v>0.56999999999999995</v>
      </c>
      <c r="BM12" s="131"/>
      <c r="BN12" s="131"/>
      <c r="BO12" s="131"/>
      <c r="BP12" s="131"/>
      <c r="BQ12" s="131"/>
      <c r="BR12" s="131"/>
      <c r="BS12" s="131"/>
      <c r="BT12" s="131"/>
      <c r="BU12" s="135"/>
      <c r="BV12" s="135"/>
      <c r="BW12" s="135"/>
      <c r="BX12" s="135"/>
      <c r="BY12" s="135"/>
      <c r="BZ12" s="131"/>
      <c r="CA12" s="131"/>
      <c r="CB12" s="131"/>
      <c r="CC12" s="131"/>
      <c r="CD12" s="135"/>
      <c r="CE12" s="135"/>
      <c r="CF12" s="135"/>
      <c r="CG12" s="131"/>
      <c r="CH12" s="131"/>
      <c r="CI12" s="131"/>
      <c r="CJ12" s="131"/>
      <c r="CK12" s="135"/>
      <c r="CL12" s="135"/>
      <c r="CM12" s="135"/>
      <c r="CN12" s="135"/>
      <c r="CO12" s="135"/>
      <c r="CP12" s="135"/>
      <c r="CQ12" s="135"/>
      <c r="CR12" s="135"/>
      <c r="CS12" s="135"/>
      <c r="CT12" s="135"/>
      <c r="CU12" s="135"/>
      <c r="CV12" s="135"/>
      <c r="CW12" s="135"/>
      <c r="CX12" s="135"/>
      <c r="CY12" s="135"/>
      <c r="CZ12" s="135"/>
      <c r="DA12" s="135"/>
      <c r="DB12" s="135"/>
      <c r="DC12" s="135"/>
      <c r="DD12" s="141"/>
    </row>
    <row r="13" spans="1:108" ht="14.1" customHeight="1" thickTop="1" thickBot="1">
      <c r="A13" s="102"/>
      <c r="B13" s="103">
        <v>0.7</v>
      </c>
      <c r="C13" s="104">
        <v>3.39</v>
      </c>
      <c r="D13" s="105">
        <v>0.9</v>
      </c>
      <c r="E13" s="105">
        <v>0.35</v>
      </c>
      <c r="F13" s="105">
        <v>0.2</v>
      </c>
      <c r="G13" s="105">
        <v>0.06</v>
      </c>
      <c r="H13" s="106">
        <v>0.03</v>
      </c>
      <c r="I13" s="107">
        <v>1.1399999999999999</v>
      </c>
      <c r="J13" s="106">
        <v>3.8967900494586497E-2</v>
      </c>
      <c r="K13" s="104">
        <v>1.72</v>
      </c>
      <c r="L13" s="106">
        <v>1.3120904226322374</v>
      </c>
      <c r="M13" s="142">
        <v>6.32</v>
      </c>
      <c r="N13" s="109">
        <v>1.32</v>
      </c>
      <c r="O13" s="109">
        <v>0.96</v>
      </c>
      <c r="P13" s="109">
        <v>0.1</v>
      </c>
      <c r="Q13" s="110">
        <v>0.02</v>
      </c>
      <c r="R13" s="270">
        <v>7.0584009999999989E-3</v>
      </c>
      <c r="S13" s="270">
        <v>2.4607309999999999E-3</v>
      </c>
      <c r="T13" s="270">
        <v>0</v>
      </c>
      <c r="U13" s="270">
        <v>0</v>
      </c>
      <c r="V13" s="104">
        <v>8.74</v>
      </c>
      <c r="W13" s="105">
        <v>1.45</v>
      </c>
      <c r="X13" s="105">
        <v>0.56999999999999995</v>
      </c>
      <c r="Y13" s="106">
        <v>0.57999999999999996</v>
      </c>
      <c r="Z13" s="108">
        <v>3.45</v>
      </c>
      <c r="AA13" s="109">
        <v>2.0699999999999998</v>
      </c>
      <c r="AB13" s="110">
        <v>1.41</v>
      </c>
      <c r="AC13" s="111">
        <v>3.33</v>
      </c>
      <c r="AD13" s="111">
        <v>1.17</v>
      </c>
      <c r="AE13" s="111"/>
      <c r="AF13" s="111"/>
      <c r="AG13" s="112">
        <v>5.17</v>
      </c>
      <c r="AH13" s="112">
        <v>3.92</v>
      </c>
      <c r="AI13" s="112"/>
      <c r="AJ13" s="112">
        <v>3.96</v>
      </c>
      <c r="AK13" s="112"/>
      <c r="AL13" s="112">
        <v>2.82</v>
      </c>
      <c r="AM13" s="112">
        <v>1.54</v>
      </c>
      <c r="AN13" s="112"/>
      <c r="AO13" s="112"/>
      <c r="AP13" s="112"/>
      <c r="AQ13" s="112">
        <v>2.5299999999999998</v>
      </c>
      <c r="AR13" s="112">
        <v>1.8</v>
      </c>
      <c r="AS13" s="112">
        <v>4.3499999999999996</v>
      </c>
      <c r="AT13" s="112">
        <v>6.55</v>
      </c>
      <c r="AU13" s="112">
        <v>3.39</v>
      </c>
      <c r="AV13" s="112">
        <v>1.8</v>
      </c>
      <c r="AW13" s="112">
        <v>0.33</v>
      </c>
      <c r="AX13" s="112">
        <v>7.0000000000000007E-2</v>
      </c>
      <c r="AY13" s="112">
        <v>4.57</v>
      </c>
      <c r="AZ13" s="112">
        <v>4.07</v>
      </c>
      <c r="BA13" s="112">
        <v>1.7</v>
      </c>
      <c r="BB13" s="112">
        <v>0.47</v>
      </c>
      <c r="BC13" s="112">
        <v>0.09</v>
      </c>
      <c r="BD13" s="112">
        <v>0.03</v>
      </c>
      <c r="BE13" s="112"/>
      <c r="BF13" s="112">
        <v>1.51</v>
      </c>
      <c r="BG13" s="112">
        <v>0.67</v>
      </c>
      <c r="BH13" s="112">
        <v>0.44</v>
      </c>
      <c r="BI13" s="112">
        <v>2.93</v>
      </c>
      <c r="BJ13" s="113">
        <v>0.68</v>
      </c>
      <c r="BK13" s="114">
        <v>0.98</v>
      </c>
      <c r="BL13" s="105">
        <v>0.66</v>
      </c>
      <c r="BM13" s="105"/>
      <c r="BN13" s="105"/>
      <c r="BO13" s="105"/>
      <c r="BP13" s="105"/>
      <c r="BQ13" s="105"/>
      <c r="BR13" s="105"/>
      <c r="BS13" s="105"/>
      <c r="BT13" s="105"/>
      <c r="BU13" s="143"/>
      <c r="BV13" s="109"/>
      <c r="BW13" s="109"/>
      <c r="BX13" s="109"/>
      <c r="BY13" s="109"/>
      <c r="BZ13" s="105"/>
      <c r="CA13" s="105"/>
      <c r="CB13" s="105"/>
      <c r="CC13" s="105"/>
      <c r="CD13" s="109"/>
      <c r="CE13" s="109"/>
      <c r="CF13" s="109"/>
      <c r="CG13" s="105"/>
      <c r="CH13" s="105"/>
      <c r="CI13" s="105"/>
      <c r="CJ13" s="105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15"/>
    </row>
    <row r="14" spans="1:108" ht="14.1" customHeight="1" thickTop="1" thickBot="1">
      <c r="A14" s="102"/>
      <c r="B14" s="144">
        <v>0.8</v>
      </c>
      <c r="C14" s="145">
        <v>4.3099999999999996</v>
      </c>
      <c r="D14" s="146">
        <v>1.17</v>
      </c>
      <c r="E14" s="146">
        <v>0.45</v>
      </c>
      <c r="F14" s="146">
        <v>0.26</v>
      </c>
      <c r="G14" s="146">
        <v>0.08</v>
      </c>
      <c r="H14" s="147">
        <v>0.04</v>
      </c>
      <c r="I14" s="148">
        <v>1.47</v>
      </c>
      <c r="J14" s="147">
        <v>5.1077953373357222E-2</v>
      </c>
      <c r="K14" s="145">
        <v>2.15</v>
      </c>
      <c r="L14" s="147">
        <v>1.626787400337681</v>
      </c>
      <c r="M14" s="149">
        <v>8.25</v>
      </c>
      <c r="N14" s="150">
        <v>1.73</v>
      </c>
      <c r="O14" s="150">
        <v>1.25</v>
      </c>
      <c r="P14" s="150">
        <v>0.14000000000000001</v>
      </c>
      <c r="Q14" s="151">
        <v>0.03</v>
      </c>
      <c r="R14" s="270">
        <v>9.219136000000001E-3</v>
      </c>
      <c r="S14" s="270">
        <v>3.2140160000000005E-3</v>
      </c>
      <c r="T14" s="270">
        <v>0</v>
      </c>
      <c r="U14" s="270">
        <v>0</v>
      </c>
      <c r="V14" s="145">
        <v>12.28</v>
      </c>
      <c r="W14" s="146">
        <v>1.8</v>
      </c>
      <c r="X14" s="146">
        <v>0.68</v>
      </c>
      <c r="Y14" s="147">
        <v>0.61</v>
      </c>
      <c r="Z14" s="152">
        <v>4.13</v>
      </c>
      <c r="AA14" s="150">
        <v>2.3199999999999998</v>
      </c>
      <c r="AB14" s="151">
        <v>1.52</v>
      </c>
      <c r="AC14" s="153">
        <v>4.34</v>
      </c>
      <c r="AD14" s="153">
        <v>1.53</v>
      </c>
      <c r="AE14" s="153"/>
      <c r="AF14" s="153"/>
      <c r="AG14" s="154">
        <v>6.57</v>
      </c>
      <c r="AH14" s="154">
        <v>5.0199999999999996</v>
      </c>
      <c r="AI14" s="154"/>
      <c r="AJ14" s="154">
        <v>5.22</v>
      </c>
      <c r="AK14" s="154"/>
      <c r="AL14" s="154">
        <v>3.68</v>
      </c>
      <c r="AM14" s="154">
        <v>2.04</v>
      </c>
      <c r="AN14" s="154"/>
      <c r="AO14" s="154"/>
      <c r="AP14" s="154"/>
      <c r="AQ14" s="154">
        <v>3.34</v>
      </c>
      <c r="AR14" s="154">
        <v>2.13</v>
      </c>
      <c r="AS14" s="154">
        <v>4.71</v>
      </c>
      <c r="AT14" s="154">
        <v>8.6199999999999992</v>
      </c>
      <c r="AU14" s="154">
        <v>4.38</v>
      </c>
      <c r="AV14" s="154">
        <v>2.33</v>
      </c>
      <c r="AW14" s="154">
        <v>0.42</v>
      </c>
      <c r="AX14" s="154">
        <v>0.09</v>
      </c>
      <c r="AY14" s="154">
        <v>5.96</v>
      </c>
      <c r="AZ14" s="154">
        <v>5.27</v>
      </c>
      <c r="BA14" s="154">
        <v>2.17</v>
      </c>
      <c r="BB14" s="154">
        <v>0.63</v>
      </c>
      <c r="BC14" s="154">
        <v>0.12</v>
      </c>
      <c r="BD14" s="154">
        <v>0.04</v>
      </c>
      <c r="BE14" s="154"/>
      <c r="BF14" s="154">
        <v>1.95</v>
      </c>
      <c r="BG14" s="154">
        <v>0.84</v>
      </c>
      <c r="BH14" s="154">
        <v>0.56999999999999995</v>
      </c>
      <c r="BI14" s="154">
        <v>3.21</v>
      </c>
      <c r="BJ14" s="155">
        <v>0.71</v>
      </c>
      <c r="BK14" s="156">
        <v>1.06</v>
      </c>
      <c r="BL14" s="146">
        <v>0.75</v>
      </c>
      <c r="BM14" s="146"/>
      <c r="BN14" s="146"/>
      <c r="BO14" s="146"/>
      <c r="BP14" s="146"/>
      <c r="BQ14" s="146"/>
      <c r="BR14" s="146"/>
      <c r="BS14" s="146"/>
      <c r="BT14" s="146"/>
      <c r="BU14" s="157"/>
      <c r="BV14" s="150"/>
      <c r="BW14" s="150"/>
      <c r="BX14" s="150"/>
      <c r="BY14" s="150"/>
      <c r="BZ14" s="146"/>
      <c r="CA14" s="146"/>
      <c r="CB14" s="146"/>
      <c r="CC14" s="146"/>
      <c r="CD14" s="150"/>
      <c r="CE14" s="150"/>
      <c r="CF14" s="150"/>
      <c r="CG14" s="146"/>
      <c r="CH14" s="146"/>
      <c r="CI14" s="146"/>
      <c r="CJ14" s="146"/>
      <c r="CK14" s="150"/>
      <c r="CL14" s="150"/>
      <c r="CM14" s="150"/>
      <c r="CN14" s="150"/>
      <c r="CO14" s="150"/>
      <c r="CP14" s="150"/>
      <c r="CQ14" s="150"/>
      <c r="CR14" s="150"/>
      <c r="CS14" s="150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8"/>
    </row>
    <row r="15" spans="1:108" ht="14.1" customHeight="1" thickTop="1" thickBot="1">
      <c r="A15" s="102"/>
      <c r="B15" s="103">
        <v>0.9</v>
      </c>
      <c r="C15" s="104">
        <v>5.34</v>
      </c>
      <c r="D15" s="105">
        <v>1.47</v>
      </c>
      <c r="E15" s="105">
        <v>0.56999999999999995</v>
      </c>
      <c r="F15" s="105">
        <v>0.33</v>
      </c>
      <c r="G15" s="105">
        <v>0.11</v>
      </c>
      <c r="H15" s="106">
        <v>0.05</v>
      </c>
      <c r="I15" s="107">
        <v>1.85</v>
      </c>
      <c r="J15" s="106">
        <v>6.4848388664608791E-2</v>
      </c>
      <c r="K15" s="104">
        <v>2.62</v>
      </c>
      <c r="L15" s="106">
        <v>1.9664656346878011</v>
      </c>
      <c r="M15" s="142">
        <v>10.45</v>
      </c>
      <c r="N15" s="109">
        <v>2.1800000000000002</v>
      </c>
      <c r="O15" s="109">
        <v>1.58</v>
      </c>
      <c r="P15" s="109">
        <v>0.17</v>
      </c>
      <c r="Q15" s="110">
        <v>0.03</v>
      </c>
      <c r="R15" s="270">
        <v>1.1667969E-2</v>
      </c>
      <c r="S15" s="270">
        <v>4.0677390000000008E-3</v>
      </c>
      <c r="T15" s="270">
        <v>0</v>
      </c>
      <c r="U15" s="270">
        <v>0</v>
      </c>
      <c r="V15" s="104"/>
      <c r="W15" s="105">
        <v>2.2000000000000002</v>
      </c>
      <c r="X15" s="105">
        <v>0.79</v>
      </c>
      <c r="Y15" s="106">
        <v>0.63</v>
      </c>
      <c r="Z15" s="108"/>
      <c r="AA15" s="109">
        <v>2.58</v>
      </c>
      <c r="AB15" s="110">
        <v>1.64</v>
      </c>
      <c r="AC15" s="111">
        <v>5.47</v>
      </c>
      <c r="AD15" s="111">
        <v>1.94</v>
      </c>
      <c r="AE15" s="111"/>
      <c r="AF15" s="111"/>
      <c r="AG15" s="112">
        <v>8.1199999999999992</v>
      </c>
      <c r="AH15" s="112">
        <v>6.25</v>
      </c>
      <c r="AI15" s="112"/>
      <c r="AJ15" s="112">
        <v>6.65</v>
      </c>
      <c r="AK15" s="112"/>
      <c r="AL15" s="112">
        <v>4.66</v>
      </c>
      <c r="AM15" s="112">
        <v>2.62</v>
      </c>
      <c r="AN15" s="112"/>
      <c r="AO15" s="112"/>
      <c r="AP15" s="112"/>
      <c r="AQ15" s="112">
        <v>4.26</v>
      </c>
      <c r="AR15" s="112">
        <v>2.5099999999999998</v>
      </c>
      <c r="AS15" s="112">
        <v>5.0999999999999996</v>
      </c>
      <c r="AT15" s="112"/>
      <c r="AU15" s="112">
        <v>5.5</v>
      </c>
      <c r="AV15" s="112">
        <v>2.92</v>
      </c>
      <c r="AW15" s="112">
        <v>0.53</v>
      </c>
      <c r="AX15" s="112">
        <v>0.11</v>
      </c>
      <c r="AY15" s="112"/>
      <c r="AZ15" s="112">
        <v>6.63</v>
      </c>
      <c r="BA15" s="112">
        <v>2.69</v>
      </c>
      <c r="BB15" s="112">
        <v>0.8</v>
      </c>
      <c r="BC15" s="112">
        <v>0.15</v>
      </c>
      <c r="BD15" s="112">
        <v>0.05</v>
      </c>
      <c r="BE15" s="112"/>
      <c r="BF15" s="112">
        <v>2.4300000000000002</v>
      </c>
      <c r="BG15" s="112">
        <v>1.03</v>
      </c>
      <c r="BH15" s="112">
        <v>0.71</v>
      </c>
      <c r="BI15" s="112">
        <v>3.64</v>
      </c>
      <c r="BJ15" s="113">
        <v>0.84</v>
      </c>
      <c r="BK15" s="114">
        <v>1.1200000000000001</v>
      </c>
      <c r="BL15" s="105">
        <v>0.84</v>
      </c>
      <c r="BM15" s="105"/>
      <c r="BN15" s="105"/>
      <c r="BO15" s="105"/>
      <c r="BP15" s="105"/>
      <c r="BQ15" s="105"/>
      <c r="BR15" s="105"/>
      <c r="BS15" s="105"/>
      <c r="BT15" s="105"/>
      <c r="BU15" s="143"/>
      <c r="BV15" s="109"/>
      <c r="BW15" s="109"/>
      <c r="BX15" s="109"/>
      <c r="BY15" s="109"/>
      <c r="BZ15" s="105"/>
      <c r="CA15" s="105"/>
      <c r="CB15" s="105"/>
      <c r="CC15" s="105"/>
      <c r="CD15" s="109"/>
      <c r="CE15" s="109"/>
      <c r="CF15" s="109"/>
      <c r="CG15" s="105"/>
      <c r="CH15" s="105"/>
      <c r="CI15" s="105"/>
      <c r="CJ15" s="105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15"/>
    </row>
    <row r="16" spans="1:108" ht="14.1" customHeight="1" thickTop="1" thickBot="1">
      <c r="A16" s="102"/>
      <c r="B16" s="159">
        <v>1</v>
      </c>
      <c r="C16" s="160">
        <v>6.46</v>
      </c>
      <c r="D16" s="161">
        <v>1.81</v>
      </c>
      <c r="E16" s="161">
        <v>0.7</v>
      </c>
      <c r="F16" s="161">
        <v>0.41</v>
      </c>
      <c r="G16" s="161">
        <v>0.13</v>
      </c>
      <c r="H16" s="162">
        <v>0.06</v>
      </c>
      <c r="I16" s="163">
        <v>2.2599999999999998</v>
      </c>
      <c r="J16" s="162">
        <v>8.0284428402501357E-2</v>
      </c>
      <c r="K16" s="160">
        <v>3.13</v>
      </c>
      <c r="L16" s="162">
        <v>2.33</v>
      </c>
      <c r="M16" s="164">
        <v>12.9</v>
      </c>
      <c r="N16" s="165">
        <v>2.7</v>
      </c>
      <c r="O16" s="165">
        <v>1.96</v>
      </c>
      <c r="P16" s="165">
        <v>0.21</v>
      </c>
      <c r="Q16" s="166">
        <v>0.04</v>
      </c>
      <c r="R16" s="270">
        <v>1.44049E-2</v>
      </c>
      <c r="S16" s="270">
        <v>5.0219000000000001E-3</v>
      </c>
      <c r="T16" s="270">
        <v>0</v>
      </c>
      <c r="U16" s="270">
        <v>0</v>
      </c>
      <c r="V16" s="160"/>
      <c r="W16" s="161">
        <v>2.63</v>
      </c>
      <c r="X16" s="161">
        <v>0.92</v>
      </c>
      <c r="Y16" s="162">
        <v>0.66</v>
      </c>
      <c r="Z16" s="167"/>
      <c r="AA16" s="165">
        <v>2.89</v>
      </c>
      <c r="AB16" s="166">
        <v>1.75</v>
      </c>
      <c r="AC16" s="168">
        <v>6.73</v>
      </c>
      <c r="AD16" s="168">
        <v>2.39</v>
      </c>
      <c r="AE16" s="168"/>
      <c r="AF16" s="168"/>
      <c r="AG16" s="169">
        <v>9.82</v>
      </c>
      <c r="AH16" s="169">
        <v>7.59</v>
      </c>
      <c r="AI16" s="169"/>
      <c r="AJ16" s="169">
        <v>8.26</v>
      </c>
      <c r="AK16" s="169"/>
      <c r="AL16" s="169">
        <v>5.75</v>
      </c>
      <c r="AM16" s="169">
        <v>3.27</v>
      </c>
      <c r="AN16" s="169"/>
      <c r="AO16" s="169"/>
      <c r="AP16" s="169"/>
      <c r="AQ16" s="169">
        <v>5.31</v>
      </c>
      <c r="AR16" s="169">
        <v>2.93</v>
      </c>
      <c r="AS16" s="169">
        <v>5.54</v>
      </c>
      <c r="AT16" s="169"/>
      <c r="AU16" s="169">
        <v>6.73</v>
      </c>
      <c r="AV16" s="169">
        <v>3.58</v>
      </c>
      <c r="AW16" s="169">
        <v>0.64</v>
      </c>
      <c r="AX16" s="169">
        <v>0.13</v>
      </c>
      <c r="AY16" s="169"/>
      <c r="AZ16" s="169">
        <v>8.1300000000000008</v>
      </c>
      <c r="BA16" s="169">
        <v>3.26</v>
      </c>
      <c r="BB16" s="169">
        <v>0.99</v>
      </c>
      <c r="BC16" s="169">
        <v>0.18</v>
      </c>
      <c r="BD16" s="169">
        <v>7.0000000000000007E-2</v>
      </c>
      <c r="BE16" s="169"/>
      <c r="BF16" s="169">
        <v>2.96</v>
      </c>
      <c r="BG16" s="169">
        <v>1.23</v>
      </c>
      <c r="BH16" s="169">
        <v>0.86</v>
      </c>
      <c r="BI16" s="169">
        <v>4.2300000000000004</v>
      </c>
      <c r="BJ16" s="170">
        <v>1.07</v>
      </c>
      <c r="BK16" s="171">
        <v>1.19</v>
      </c>
      <c r="BL16" s="161">
        <v>0.93</v>
      </c>
      <c r="BM16" s="161"/>
      <c r="BN16" s="161"/>
      <c r="BO16" s="161"/>
      <c r="BP16" s="161"/>
      <c r="BQ16" s="161"/>
      <c r="BR16" s="161"/>
      <c r="BS16" s="161"/>
      <c r="BT16" s="161"/>
      <c r="BU16" s="172"/>
      <c r="BV16" s="165"/>
      <c r="BW16" s="165"/>
      <c r="BX16" s="165"/>
      <c r="BY16" s="165"/>
      <c r="BZ16" s="161"/>
      <c r="CA16" s="161"/>
      <c r="CB16" s="161"/>
      <c r="CC16" s="161"/>
      <c r="CD16" s="165"/>
      <c r="CE16" s="165"/>
      <c r="CF16" s="165"/>
      <c r="CG16" s="161"/>
      <c r="CH16" s="161"/>
      <c r="CI16" s="161"/>
      <c r="CJ16" s="161"/>
      <c r="CK16" s="165"/>
      <c r="CL16" s="165"/>
      <c r="CM16" s="165"/>
      <c r="CN16" s="165"/>
      <c r="CO16" s="165"/>
      <c r="CP16" s="165"/>
      <c r="CQ16" s="165"/>
      <c r="CR16" s="165"/>
      <c r="CS16" s="165"/>
      <c r="CT16" s="165"/>
      <c r="CU16" s="165"/>
      <c r="CV16" s="165"/>
      <c r="CW16" s="165"/>
      <c r="CX16" s="165"/>
      <c r="CY16" s="165"/>
      <c r="CZ16" s="165"/>
      <c r="DA16" s="165"/>
      <c r="DB16" s="165"/>
      <c r="DC16" s="165"/>
      <c r="DD16" s="173"/>
    </row>
    <row r="17" spans="1:108" ht="14.1" customHeight="1" thickTop="1" thickBot="1">
      <c r="A17" s="102"/>
      <c r="B17" s="103">
        <v>1.1000000000000001</v>
      </c>
      <c r="C17" s="104"/>
      <c r="D17" s="105">
        <v>2.1800000000000002</v>
      </c>
      <c r="E17" s="105">
        <v>0.84</v>
      </c>
      <c r="F17" s="105">
        <v>0.5</v>
      </c>
      <c r="G17" s="105">
        <v>0.16</v>
      </c>
      <c r="H17" s="106">
        <v>7.0000000000000007E-2</v>
      </c>
      <c r="I17" s="107">
        <v>2.71</v>
      </c>
      <c r="J17" s="106">
        <v>9.7390755631440881E-2</v>
      </c>
      <c r="K17" s="104">
        <v>3.67</v>
      </c>
      <c r="L17" s="106">
        <v>2.7164276607125322</v>
      </c>
      <c r="M17" s="108"/>
      <c r="N17" s="109">
        <v>3.26</v>
      </c>
      <c r="O17" s="109">
        <v>2.37</v>
      </c>
      <c r="P17" s="109">
        <v>0.26</v>
      </c>
      <c r="Q17" s="110">
        <v>0.05</v>
      </c>
      <c r="R17" s="270">
        <v>1.7429929000000004E-2</v>
      </c>
      <c r="S17" s="270">
        <v>6.0764990000000008E-3</v>
      </c>
      <c r="T17" s="270">
        <v>0</v>
      </c>
      <c r="U17" s="270">
        <v>0</v>
      </c>
      <c r="V17" s="104"/>
      <c r="W17" s="105">
        <v>3.1</v>
      </c>
      <c r="X17" s="105">
        <v>1.06</v>
      </c>
      <c r="Y17" s="106">
        <v>0.69</v>
      </c>
      <c r="Z17" s="108"/>
      <c r="AA17" s="109">
        <v>3.34</v>
      </c>
      <c r="AB17" s="110">
        <v>1.86</v>
      </c>
      <c r="AC17" s="111">
        <v>8.1199999999999992</v>
      </c>
      <c r="AD17" s="111">
        <v>2.89</v>
      </c>
      <c r="AE17" s="111"/>
      <c r="AF17" s="111"/>
      <c r="AG17" s="112"/>
      <c r="AH17" s="112">
        <v>9.0500000000000007</v>
      </c>
      <c r="AI17" s="112"/>
      <c r="AJ17" s="112"/>
      <c r="AK17" s="112"/>
      <c r="AL17" s="112">
        <v>6.96</v>
      </c>
      <c r="AM17" s="112">
        <v>4</v>
      </c>
      <c r="AN17" s="112"/>
      <c r="AO17" s="112"/>
      <c r="AP17" s="112"/>
      <c r="AQ17" s="112">
        <v>6.47</v>
      </c>
      <c r="AR17" s="112">
        <v>3.4</v>
      </c>
      <c r="AS17" s="112">
        <v>6.03</v>
      </c>
      <c r="AT17" s="112"/>
      <c r="AU17" s="112">
        <v>8.08</v>
      </c>
      <c r="AV17" s="112">
        <v>4.3</v>
      </c>
      <c r="AW17" s="112">
        <v>0.76</v>
      </c>
      <c r="AX17" s="112">
        <v>0.16</v>
      </c>
      <c r="AY17" s="112"/>
      <c r="AZ17" s="112">
        <v>9.7799999999999994</v>
      </c>
      <c r="BA17" s="112">
        <v>3.88</v>
      </c>
      <c r="BB17" s="112">
        <v>1.2</v>
      </c>
      <c r="BC17" s="112">
        <v>0.21</v>
      </c>
      <c r="BD17" s="112">
        <v>0.09</v>
      </c>
      <c r="BE17" s="112"/>
      <c r="BF17" s="112">
        <v>3.54</v>
      </c>
      <c r="BG17" s="112">
        <v>1.44</v>
      </c>
      <c r="BH17" s="112">
        <v>1.03</v>
      </c>
      <c r="BI17" s="112">
        <v>4.95</v>
      </c>
      <c r="BJ17" s="113">
        <v>1.38</v>
      </c>
      <c r="BK17" s="114">
        <v>1.25</v>
      </c>
      <c r="BL17" s="105">
        <v>1.02</v>
      </c>
      <c r="BM17" s="105"/>
      <c r="BN17" s="105"/>
      <c r="BO17" s="105"/>
      <c r="BP17" s="105"/>
      <c r="BQ17" s="105"/>
      <c r="BR17" s="105"/>
      <c r="BS17" s="105"/>
      <c r="BT17" s="105"/>
      <c r="BU17" s="109"/>
      <c r="BV17" s="109"/>
      <c r="BW17" s="109"/>
      <c r="BX17" s="109"/>
      <c r="BY17" s="109"/>
      <c r="BZ17" s="105"/>
      <c r="CA17" s="105"/>
      <c r="CB17" s="105"/>
      <c r="CC17" s="105"/>
      <c r="CD17" s="109"/>
      <c r="CE17" s="109"/>
      <c r="CF17" s="109"/>
      <c r="CG17" s="105"/>
      <c r="CH17" s="105"/>
      <c r="CI17" s="105"/>
      <c r="CJ17" s="105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15"/>
    </row>
    <row r="18" spans="1:108" ht="14.1" customHeight="1" thickTop="1" thickBot="1">
      <c r="A18" s="102"/>
      <c r="B18" s="116">
        <v>1.2</v>
      </c>
      <c r="C18" s="117"/>
      <c r="D18" s="118">
        <v>2.58</v>
      </c>
      <c r="E18" s="118">
        <v>1</v>
      </c>
      <c r="F18" s="118">
        <v>0.59</v>
      </c>
      <c r="G18" s="118">
        <v>0.19</v>
      </c>
      <c r="H18" s="119">
        <v>0.09</v>
      </c>
      <c r="I18" s="120">
        <v>3.2</v>
      </c>
      <c r="J18" s="119">
        <v>0.11617161661489325</v>
      </c>
      <c r="K18" s="117">
        <v>4.25</v>
      </c>
      <c r="L18" s="119">
        <v>3.1249115350881631</v>
      </c>
      <c r="M18" s="121"/>
      <c r="N18" s="174">
        <v>3.88</v>
      </c>
      <c r="O18" s="122">
        <v>2.82</v>
      </c>
      <c r="P18" s="122">
        <v>0.3</v>
      </c>
      <c r="Q18" s="123">
        <v>0.06</v>
      </c>
      <c r="R18" s="270">
        <v>2.0743055999999999E-2</v>
      </c>
      <c r="S18" s="270">
        <v>7.2315360000000002E-3</v>
      </c>
      <c r="T18" s="270">
        <v>0</v>
      </c>
      <c r="U18" s="270">
        <v>0</v>
      </c>
      <c r="V18" s="117"/>
      <c r="W18" s="118">
        <v>3.61</v>
      </c>
      <c r="X18" s="118">
        <v>1.21</v>
      </c>
      <c r="Y18" s="119">
        <v>0.71</v>
      </c>
      <c r="Z18" s="121"/>
      <c r="AA18" s="122">
        <v>4.0999999999999996</v>
      </c>
      <c r="AB18" s="123">
        <v>1.98</v>
      </c>
      <c r="AC18" s="124">
        <v>9.64</v>
      </c>
      <c r="AD18" s="124">
        <v>3.44</v>
      </c>
      <c r="AE18" s="124"/>
      <c r="AF18" s="124"/>
      <c r="AG18" s="125"/>
      <c r="AH18" s="125"/>
      <c r="AI18" s="125"/>
      <c r="AJ18" s="125"/>
      <c r="AK18" s="125"/>
      <c r="AL18" s="125">
        <v>8.2799999999999994</v>
      </c>
      <c r="AM18" s="125">
        <v>4.8</v>
      </c>
      <c r="AN18" s="125"/>
      <c r="AO18" s="125"/>
      <c r="AP18" s="125"/>
      <c r="AQ18" s="125">
        <v>7.76</v>
      </c>
      <c r="AR18" s="125">
        <v>3.93</v>
      </c>
      <c r="AS18" s="125">
        <v>6.6</v>
      </c>
      <c r="AT18" s="125"/>
      <c r="AU18" s="125">
        <v>9.5500000000000007</v>
      </c>
      <c r="AV18" s="125">
        <v>5.08</v>
      </c>
      <c r="AW18" s="125">
        <v>0.9</v>
      </c>
      <c r="AX18" s="125">
        <v>0.18</v>
      </c>
      <c r="AY18" s="125"/>
      <c r="AZ18" s="125"/>
      <c r="BA18" s="125">
        <v>4.55</v>
      </c>
      <c r="BB18" s="125">
        <v>1.44</v>
      </c>
      <c r="BC18" s="125">
        <v>0.25</v>
      </c>
      <c r="BD18" s="125">
        <v>0.11</v>
      </c>
      <c r="BE18" s="125"/>
      <c r="BF18" s="125">
        <v>4.17</v>
      </c>
      <c r="BG18" s="125">
        <v>1.67</v>
      </c>
      <c r="BH18" s="125">
        <v>1.2</v>
      </c>
      <c r="BI18" s="125">
        <v>5.8</v>
      </c>
      <c r="BJ18" s="126">
        <v>1.76</v>
      </c>
      <c r="BK18" s="127">
        <v>1.31</v>
      </c>
      <c r="BL18" s="118">
        <v>1.1100000000000001</v>
      </c>
      <c r="BM18" s="118"/>
      <c r="BN18" s="118"/>
      <c r="BO18" s="118"/>
      <c r="BP18" s="118"/>
      <c r="BQ18" s="118"/>
      <c r="BR18" s="118"/>
      <c r="BS18" s="118"/>
      <c r="BT18" s="118"/>
      <c r="BU18" s="122"/>
      <c r="BV18" s="174"/>
      <c r="BW18" s="122"/>
      <c r="BX18" s="122"/>
      <c r="BY18" s="122"/>
      <c r="BZ18" s="118"/>
      <c r="CA18" s="118"/>
      <c r="CB18" s="118"/>
      <c r="CC18" s="118"/>
      <c r="CD18" s="122"/>
      <c r="CE18" s="122"/>
      <c r="CF18" s="122"/>
      <c r="CG18" s="118"/>
      <c r="CH18" s="118"/>
      <c r="CI18" s="118"/>
      <c r="CJ18" s="118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8"/>
    </row>
    <row r="19" spans="1:108" ht="14.1" customHeight="1" thickTop="1" thickBot="1">
      <c r="A19" s="102"/>
      <c r="B19" s="103">
        <v>1.3</v>
      </c>
      <c r="C19" s="104"/>
      <c r="D19" s="105">
        <v>3.02</v>
      </c>
      <c r="E19" s="105">
        <v>1.1599999999999999</v>
      </c>
      <c r="F19" s="105">
        <v>0.69</v>
      </c>
      <c r="G19" s="105">
        <v>0.22</v>
      </c>
      <c r="H19" s="106">
        <v>0.1</v>
      </c>
      <c r="I19" s="107">
        <v>3.73</v>
      </c>
      <c r="J19" s="106">
        <v>0.13663089634910586</v>
      </c>
      <c r="K19" s="104">
        <v>4.8600000000000003</v>
      </c>
      <c r="L19" s="106">
        <v>3.5547144387287641</v>
      </c>
      <c r="M19" s="108"/>
      <c r="N19" s="143">
        <v>4.5599999999999996</v>
      </c>
      <c r="O19" s="109">
        <v>3.31</v>
      </c>
      <c r="P19" s="109">
        <v>0.36</v>
      </c>
      <c r="Q19" s="110">
        <v>7.0000000000000007E-2</v>
      </c>
      <c r="R19" s="270">
        <v>2.4344281000000002E-2</v>
      </c>
      <c r="S19" s="270">
        <v>8.4870110000000009E-3</v>
      </c>
      <c r="T19" s="270">
        <v>0</v>
      </c>
      <c r="U19" s="270">
        <v>0</v>
      </c>
      <c r="V19" s="104"/>
      <c r="W19" s="105">
        <v>4.1500000000000004</v>
      </c>
      <c r="X19" s="105">
        <v>1.38</v>
      </c>
      <c r="Y19" s="106">
        <v>0.74</v>
      </c>
      <c r="Z19" s="108"/>
      <c r="AA19" s="109">
        <v>5.38</v>
      </c>
      <c r="AB19" s="110">
        <v>2.09</v>
      </c>
      <c r="AC19" s="111"/>
      <c r="AD19" s="111">
        <v>4.04</v>
      </c>
      <c r="AE19" s="111"/>
      <c r="AF19" s="111"/>
      <c r="AG19" s="112"/>
      <c r="AH19" s="112"/>
      <c r="AI19" s="112"/>
      <c r="AJ19" s="112"/>
      <c r="AK19" s="112"/>
      <c r="AL19" s="112">
        <v>9.7200000000000006</v>
      </c>
      <c r="AM19" s="112">
        <v>5.69</v>
      </c>
      <c r="AN19" s="112"/>
      <c r="AO19" s="112"/>
      <c r="AP19" s="112"/>
      <c r="AQ19" s="112">
        <v>9.16</v>
      </c>
      <c r="AR19" s="112">
        <v>4.51</v>
      </c>
      <c r="AS19" s="112">
        <v>7.24</v>
      </c>
      <c r="AT19" s="112"/>
      <c r="AU19" s="112"/>
      <c r="AV19" s="112">
        <v>5.92</v>
      </c>
      <c r="AW19" s="112">
        <v>1.04</v>
      </c>
      <c r="AX19" s="112">
        <v>0.21</v>
      </c>
      <c r="AY19" s="112"/>
      <c r="AZ19" s="112"/>
      <c r="BA19" s="112">
        <v>5.27</v>
      </c>
      <c r="BB19" s="112">
        <v>1.7</v>
      </c>
      <c r="BC19" s="112">
        <v>0.28999999999999998</v>
      </c>
      <c r="BD19" s="112">
        <v>0.13</v>
      </c>
      <c r="BE19" s="112"/>
      <c r="BF19" s="112">
        <v>4.8499999999999996</v>
      </c>
      <c r="BG19" s="112">
        <v>1.92</v>
      </c>
      <c r="BH19" s="112">
        <v>1.4</v>
      </c>
      <c r="BI19" s="112">
        <v>6.77</v>
      </c>
      <c r="BJ19" s="113">
        <v>2.21</v>
      </c>
      <c r="BK19" s="114">
        <v>1.37</v>
      </c>
      <c r="BL19" s="105">
        <v>1.2</v>
      </c>
      <c r="BM19" s="105"/>
      <c r="BN19" s="105"/>
      <c r="BO19" s="105"/>
      <c r="BP19" s="105"/>
      <c r="BQ19" s="105"/>
      <c r="BR19" s="105"/>
      <c r="BS19" s="105"/>
      <c r="BT19" s="105"/>
      <c r="BU19" s="109"/>
      <c r="BV19" s="143"/>
      <c r="BW19" s="109"/>
      <c r="BX19" s="109"/>
      <c r="BY19" s="109"/>
      <c r="BZ19" s="105"/>
      <c r="CA19" s="105"/>
      <c r="CB19" s="105"/>
      <c r="CC19" s="105"/>
      <c r="CD19" s="109"/>
      <c r="CE19" s="109"/>
      <c r="CF19" s="109"/>
      <c r="CG19" s="105"/>
      <c r="CH19" s="105"/>
      <c r="CI19" s="105"/>
      <c r="CJ19" s="105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109"/>
      <c r="CV19" s="109"/>
      <c r="CW19" s="109"/>
      <c r="CX19" s="109"/>
      <c r="CY19" s="109"/>
      <c r="CZ19" s="109"/>
      <c r="DA19" s="109"/>
      <c r="DB19" s="109"/>
      <c r="DC19" s="109"/>
      <c r="DD19" s="115"/>
    </row>
    <row r="20" spans="1:108" ht="14.1" customHeight="1" thickTop="1" thickBot="1">
      <c r="A20" s="102"/>
      <c r="B20" s="129">
        <v>1.4</v>
      </c>
      <c r="C20" s="130"/>
      <c r="D20" s="131">
        <v>3.49</v>
      </c>
      <c r="E20" s="131">
        <v>1.34</v>
      </c>
      <c r="F20" s="131">
        <v>0.8</v>
      </c>
      <c r="G20" s="131">
        <v>0.25</v>
      </c>
      <c r="H20" s="132">
        <v>0.12</v>
      </c>
      <c r="I20" s="133">
        <v>4.29</v>
      </c>
      <c r="J20" s="132">
        <v>0.15877217596066515</v>
      </c>
      <c r="K20" s="130">
        <v>5.51</v>
      </c>
      <c r="L20" s="132">
        <v>4.0051801810628094</v>
      </c>
      <c r="M20" s="134"/>
      <c r="N20" s="175">
        <v>5.28</v>
      </c>
      <c r="O20" s="135">
        <v>3.83</v>
      </c>
      <c r="P20" s="135">
        <v>0.41</v>
      </c>
      <c r="Q20" s="136">
        <v>0.08</v>
      </c>
      <c r="R20" s="270">
        <v>2.8233603999999995E-2</v>
      </c>
      <c r="S20" s="270">
        <v>9.8429239999999994E-3</v>
      </c>
      <c r="T20" s="270">
        <v>0</v>
      </c>
      <c r="U20" s="270">
        <v>0</v>
      </c>
      <c r="V20" s="130"/>
      <c r="W20" s="131">
        <v>4.72</v>
      </c>
      <c r="X20" s="131">
        <v>1.56</v>
      </c>
      <c r="Y20" s="132">
        <v>0.78</v>
      </c>
      <c r="Z20" s="134"/>
      <c r="AA20" s="135">
        <v>7.5</v>
      </c>
      <c r="AB20" s="136">
        <v>2.2200000000000002</v>
      </c>
      <c r="AC20" s="137"/>
      <c r="AD20" s="137">
        <v>4.68</v>
      </c>
      <c r="AE20" s="137"/>
      <c r="AF20" s="137"/>
      <c r="AG20" s="138"/>
      <c r="AH20" s="138"/>
      <c r="AI20" s="138"/>
      <c r="AJ20" s="138"/>
      <c r="AK20" s="138"/>
      <c r="AL20" s="138"/>
      <c r="AM20" s="138">
        <v>6.65</v>
      </c>
      <c r="AN20" s="138"/>
      <c r="AO20" s="138"/>
      <c r="AP20" s="138"/>
      <c r="AQ20" s="138"/>
      <c r="AR20" s="138">
        <v>5.16</v>
      </c>
      <c r="AS20" s="138">
        <v>7.97</v>
      </c>
      <c r="AT20" s="138"/>
      <c r="AU20" s="138"/>
      <c r="AV20" s="138">
        <v>6.83</v>
      </c>
      <c r="AW20" s="138">
        <v>1.19</v>
      </c>
      <c r="AX20" s="138">
        <v>0.25</v>
      </c>
      <c r="AY20" s="138"/>
      <c r="AZ20" s="138"/>
      <c r="BA20" s="138">
        <v>6.03</v>
      </c>
      <c r="BB20" s="138">
        <v>1.98</v>
      </c>
      <c r="BC20" s="138">
        <v>0.34</v>
      </c>
      <c r="BD20" s="138">
        <v>0.15</v>
      </c>
      <c r="BE20" s="138"/>
      <c r="BF20" s="138">
        <v>5.57</v>
      </c>
      <c r="BG20" s="138">
        <v>2.17</v>
      </c>
      <c r="BH20" s="138">
        <v>1.6</v>
      </c>
      <c r="BI20" s="138">
        <v>7.84</v>
      </c>
      <c r="BJ20" s="139">
        <v>2.7</v>
      </c>
      <c r="BK20" s="140">
        <v>1.42</v>
      </c>
      <c r="BL20" s="131">
        <v>1.29</v>
      </c>
      <c r="BM20" s="131"/>
      <c r="BN20" s="131"/>
      <c r="BO20" s="131"/>
      <c r="BP20" s="131"/>
      <c r="BQ20" s="131"/>
      <c r="BR20" s="131"/>
      <c r="BS20" s="131"/>
      <c r="BT20" s="131"/>
      <c r="BU20" s="135"/>
      <c r="BV20" s="175"/>
      <c r="BW20" s="135"/>
      <c r="BX20" s="135"/>
      <c r="BY20" s="135"/>
      <c r="BZ20" s="131"/>
      <c r="CA20" s="131"/>
      <c r="CB20" s="131"/>
      <c r="CC20" s="131"/>
      <c r="CD20" s="135"/>
      <c r="CE20" s="135"/>
      <c r="CF20" s="135"/>
      <c r="CG20" s="131"/>
      <c r="CH20" s="131"/>
      <c r="CI20" s="131"/>
      <c r="CJ20" s="131"/>
      <c r="CK20" s="135"/>
      <c r="CL20" s="135"/>
      <c r="CM20" s="135"/>
      <c r="CN20" s="135"/>
      <c r="CO20" s="135"/>
      <c r="CP20" s="135"/>
      <c r="CQ20" s="135"/>
      <c r="CR20" s="135"/>
      <c r="CS20" s="135"/>
      <c r="CT20" s="135"/>
      <c r="CU20" s="135"/>
      <c r="CV20" s="135"/>
      <c r="CW20" s="135"/>
      <c r="CX20" s="135"/>
      <c r="CY20" s="135"/>
      <c r="CZ20" s="135"/>
      <c r="DA20" s="135"/>
      <c r="DB20" s="135"/>
      <c r="DC20" s="135"/>
      <c r="DD20" s="141"/>
    </row>
    <row r="21" spans="1:108" ht="14.1" customHeight="1" thickTop="1" thickBot="1">
      <c r="A21" s="102"/>
      <c r="B21" s="103">
        <v>1.5</v>
      </c>
      <c r="C21" s="104"/>
      <c r="D21" s="105">
        <v>3.99</v>
      </c>
      <c r="E21" s="105">
        <v>1.54</v>
      </c>
      <c r="F21" s="105">
        <v>0.92</v>
      </c>
      <c r="G21" s="105">
        <v>0.28999999999999998</v>
      </c>
      <c r="H21" s="106">
        <v>0.14000000000000001</v>
      </c>
      <c r="I21" s="107">
        <v>4.9000000000000004</v>
      </c>
      <c r="J21" s="106">
        <v>0.18259877736969357</v>
      </c>
      <c r="K21" s="104">
        <v>6.19</v>
      </c>
      <c r="L21" s="106">
        <v>4.4757193688886794</v>
      </c>
      <c r="M21" s="108"/>
      <c r="N21" s="143">
        <v>6.07</v>
      </c>
      <c r="O21" s="109">
        <v>4.4000000000000004</v>
      </c>
      <c r="P21" s="109">
        <v>0.48</v>
      </c>
      <c r="Q21" s="110">
        <v>0.09</v>
      </c>
      <c r="R21" s="270">
        <v>3.2411025000000003E-2</v>
      </c>
      <c r="S21" s="270">
        <v>1.1299275000000001E-2</v>
      </c>
      <c r="T21" s="270">
        <v>0</v>
      </c>
      <c r="U21" s="270">
        <v>0</v>
      </c>
      <c r="V21" s="104"/>
      <c r="W21" s="105">
        <v>5.32</v>
      </c>
      <c r="X21" s="105">
        <v>1.76</v>
      </c>
      <c r="Y21" s="106">
        <v>0.81</v>
      </c>
      <c r="Z21" s="108"/>
      <c r="AA21" s="109">
        <v>10.88</v>
      </c>
      <c r="AB21" s="110">
        <v>2.37</v>
      </c>
      <c r="AC21" s="111"/>
      <c r="AD21" s="111">
        <v>5.38</v>
      </c>
      <c r="AE21" s="111"/>
      <c r="AF21" s="111"/>
      <c r="AG21" s="112"/>
      <c r="AH21" s="112"/>
      <c r="AI21" s="112"/>
      <c r="AJ21" s="112"/>
      <c r="AK21" s="112"/>
      <c r="AL21" s="112"/>
      <c r="AM21" s="112">
        <v>7.69</v>
      </c>
      <c r="AN21" s="112"/>
      <c r="AO21" s="112"/>
      <c r="AP21" s="112"/>
      <c r="AQ21" s="112"/>
      <c r="AR21" s="112">
        <v>5.86</v>
      </c>
      <c r="AS21" s="112">
        <v>8.8000000000000007</v>
      </c>
      <c r="AT21" s="112"/>
      <c r="AU21" s="112"/>
      <c r="AV21" s="112">
        <v>7.8</v>
      </c>
      <c r="AW21" s="112">
        <v>1.36</v>
      </c>
      <c r="AX21" s="112">
        <v>0.28000000000000003</v>
      </c>
      <c r="AY21" s="112"/>
      <c r="AZ21" s="112"/>
      <c r="BA21" s="112">
        <v>6.85</v>
      </c>
      <c r="BB21" s="112">
        <v>2.2799999999999998</v>
      </c>
      <c r="BC21" s="112">
        <v>0.38</v>
      </c>
      <c r="BD21" s="112">
        <v>0.18</v>
      </c>
      <c r="BE21" s="112"/>
      <c r="BF21" s="112">
        <v>6.34</v>
      </c>
      <c r="BG21" s="112">
        <v>2.44</v>
      </c>
      <c r="BH21" s="112">
        <v>1.82</v>
      </c>
      <c r="BI21" s="112">
        <v>9</v>
      </c>
      <c r="BJ21" s="113">
        <v>3.22</v>
      </c>
      <c r="BK21" s="114"/>
      <c r="BL21" s="105"/>
      <c r="BM21" s="105"/>
      <c r="BN21" s="105"/>
      <c r="BO21" s="105"/>
      <c r="BP21" s="105"/>
      <c r="BQ21" s="105"/>
      <c r="BR21" s="105"/>
      <c r="BS21" s="105"/>
      <c r="BT21" s="105"/>
      <c r="BU21" s="109"/>
      <c r="BV21" s="143"/>
      <c r="BW21" s="109"/>
      <c r="BX21" s="109"/>
      <c r="BY21" s="109"/>
      <c r="BZ21" s="105"/>
      <c r="CA21" s="105"/>
      <c r="CB21" s="105"/>
      <c r="CC21" s="105"/>
      <c r="CD21" s="109"/>
      <c r="CE21" s="109"/>
      <c r="CF21" s="109"/>
      <c r="CG21" s="105"/>
      <c r="CH21" s="105"/>
      <c r="CI21" s="105"/>
      <c r="CJ21" s="105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15"/>
    </row>
    <row r="22" spans="1:108" ht="14.1" customHeight="1" thickTop="1" thickBot="1">
      <c r="A22" s="102"/>
      <c r="B22" s="116">
        <v>1.6</v>
      </c>
      <c r="C22" s="117"/>
      <c r="D22" s="118">
        <v>4.53</v>
      </c>
      <c r="E22" s="118">
        <v>1.74</v>
      </c>
      <c r="F22" s="118">
        <v>1.04</v>
      </c>
      <c r="G22" s="118">
        <v>0.33</v>
      </c>
      <c r="H22" s="119">
        <v>0.15</v>
      </c>
      <c r="I22" s="120"/>
      <c r="J22" s="119">
        <v>0.20811379873626898</v>
      </c>
      <c r="K22" s="117"/>
      <c r="L22" s="119">
        <v>4.9657985015727863</v>
      </c>
      <c r="M22" s="121"/>
      <c r="N22" s="174">
        <v>6.9</v>
      </c>
      <c r="O22" s="122">
        <v>5.01</v>
      </c>
      <c r="P22" s="122">
        <v>0.54</v>
      </c>
      <c r="Q22" s="123">
        <v>0.11</v>
      </c>
      <c r="R22" s="270">
        <v>3.6876544000000004E-2</v>
      </c>
      <c r="S22" s="270">
        <v>1.2856064000000002E-2</v>
      </c>
      <c r="T22" s="270">
        <v>0</v>
      </c>
      <c r="U22" s="270">
        <v>0</v>
      </c>
      <c r="V22" s="117"/>
      <c r="W22" s="118">
        <v>5.94</v>
      </c>
      <c r="X22" s="118">
        <v>1.97</v>
      </c>
      <c r="Y22" s="119">
        <v>0.84</v>
      </c>
      <c r="Z22" s="121"/>
      <c r="AA22" s="122"/>
      <c r="AB22" s="123">
        <v>2.57</v>
      </c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7"/>
      <c r="AT22" s="177"/>
      <c r="AU22" s="177"/>
      <c r="AV22" s="177"/>
      <c r="AW22" s="176">
        <v>1.53</v>
      </c>
      <c r="AX22" s="176">
        <v>0.32</v>
      </c>
      <c r="AY22" s="177"/>
      <c r="AZ22" s="177"/>
      <c r="BA22" s="177"/>
      <c r="BB22" s="177"/>
      <c r="BC22" s="176">
        <v>0.43</v>
      </c>
      <c r="BD22" s="176">
        <v>0.21</v>
      </c>
      <c r="BE22" s="177"/>
      <c r="BF22" s="177"/>
      <c r="BG22" s="177"/>
      <c r="BH22" s="177"/>
      <c r="BI22" s="177"/>
      <c r="BJ22" s="178"/>
      <c r="BK22" s="127"/>
      <c r="BL22" s="118"/>
      <c r="BM22" s="118"/>
      <c r="BN22" s="118"/>
      <c r="BO22" s="118"/>
      <c r="BP22" s="118"/>
      <c r="BQ22" s="118"/>
      <c r="BR22" s="118"/>
      <c r="BS22" s="118"/>
      <c r="BT22" s="118"/>
      <c r="BU22" s="122"/>
      <c r="BV22" s="174"/>
      <c r="BW22" s="122"/>
      <c r="BX22" s="122"/>
      <c r="BY22" s="122"/>
      <c r="BZ22" s="118"/>
      <c r="CA22" s="118"/>
      <c r="CB22" s="118"/>
      <c r="CC22" s="118"/>
      <c r="CD22" s="122"/>
      <c r="CE22" s="122"/>
      <c r="CF22" s="122"/>
      <c r="CG22" s="179"/>
      <c r="CH22" s="179"/>
      <c r="CI22" s="179"/>
      <c r="CJ22" s="179"/>
      <c r="CK22" s="179"/>
      <c r="CL22" s="179"/>
      <c r="CM22" s="179"/>
      <c r="CN22" s="179"/>
      <c r="CO22" s="179"/>
      <c r="CP22" s="179"/>
      <c r="CQ22" s="179"/>
      <c r="CR22" s="179"/>
      <c r="CS22" s="179"/>
      <c r="CT22" s="179"/>
      <c r="CU22" s="179"/>
      <c r="CV22" s="179"/>
      <c r="CW22" s="180"/>
      <c r="CX22" s="180"/>
      <c r="CY22" s="180"/>
      <c r="CZ22" s="180"/>
      <c r="DA22" s="179"/>
      <c r="DB22" s="179"/>
      <c r="DC22" s="180"/>
      <c r="DD22" s="181"/>
    </row>
    <row r="23" spans="1:108" ht="14.1" customHeight="1" thickTop="1" thickBot="1">
      <c r="A23" s="102"/>
      <c r="B23" s="103">
        <v>1.7</v>
      </c>
      <c r="C23" s="104"/>
      <c r="D23" s="105">
        <v>5.09</v>
      </c>
      <c r="E23" s="105">
        <v>1.96</v>
      </c>
      <c r="F23" s="105">
        <v>1.18</v>
      </c>
      <c r="G23" s="105">
        <v>0.38</v>
      </c>
      <c r="H23" s="106">
        <v>0.17</v>
      </c>
      <c r="I23" s="107"/>
      <c r="J23" s="106"/>
      <c r="K23" s="104"/>
      <c r="L23" s="106">
        <v>5.4749314319955076</v>
      </c>
      <c r="M23" s="108"/>
      <c r="N23" s="143">
        <v>7.79</v>
      </c>
      <c r="O23" s="109">
        <v>5.65</v>
      </c>
      <c r="P23" s="109">
        <v>0.61</v>
      </c>
      <c r="Q23" s="110">
        <v>0.12</v>
      </c>
      <c r="R23" s="270">
        <v>4.1630160999999992E-2</v>
      </c>
      <c r="S23" s="270">
        <v>1.4513290999999999E-2</v>
      </c>
      <c r="T23" s="270">
        <v>0</v>
      </c>
      <c r="U23" s="270">
        <v>0</v>
      </c>
      <c r="V23" s="104"/>
      <c r="W23" s="105">
        <v>6.58</v>
      </c>
      <c r="X23" s="105">
        <v>2.19</v>
      </c>
      <c r="Y23" s="106">
        <v>0.88</v>
      </c>
      <c r="Z23" s="108"/>
      <c r="AA23" s="109"/>
      <c r="AB23" s="110">
        <v>2.84</v>
      </c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3"/>
      <c r="AT23" s="183"/>
      <c r="AU23" s="183"/>
      <c r="AV23" s="183"/>
      <c r="AW23" s="182">
        <v>1.71</v>
      </c>
      <c r="AX23" s="182">
        <v>0.36</v>
      </c>
      <c r="AY23" s="183"/>
      <c r="AZ23" s="183"/>
      <c r="BA23" s="183"/>
      <c r="BB23" s="183"/>
      <c r="BC23" s="182">
        <v>0.48</v>
      </c>
      <c r="BD23" s="182">
        <v>0.24</v>
      </c>
      <c r="BE23" s="183"/>
      <c r="BF23" s="183"/>
      <c r="BG23" s="183"/>
      <c r="BH23" s="183"/>
      <c r="BI23" s="183"/>
      <c r="BJ23" s="184"/>
      <c r="BK23" s="114"/>
      <c r="BL23" s="105"/>
      <c r="BM23" s="105"/>
      <c r="BN23" s="105"/>
      <c r="BO23" s="105"/>
      <c r="BP23" s="105"/>
      <c r="BQ23" s="105"/>
      <c r="BR23" s="105"/>
      <c r="BS23" s="105"/>
      <c r="BT23" s="105"/>
      <c r="BU23" s="109"/>
      <c r="BV23" s="143"/>
      <c r="BW23" s="109"/>
      <c r="BX23" s="109"/>
      <c r="BY23" s="109"/>
      <c r="BZ23" s="105"/>
      <c r="CA23" s="105"/>
      <c r="CB23" s="105"/>
      <c r="CC23" s="105"/>
      <c r="CD23" s="109"/>
      <c r="CE23" s="109"/>
      <c r="CF23" s="109"/>
      <c r="CG23" s="185"/>
      <c r="CH23" s="185"/>
      <c r="CI23" s="185"/>
      <c r="CJ23" s="185"/>
      <c r="CK23" s="185"/>
      <c r="CL23" s="185"/>
      <c r="CM23" s="185"/>
      <c r="CN23" s="185"/>
      <c r="CO23" s="185"/>
      <c r="CP23" s="185"/>
      <c r="CQ23" s="185"/>
      <c r="CR23" s="185"/>
      <c r="CS23" s="185"/>
      <c r="CT23" s="185"/>
      <c r="CU23" s="185"/>
      <c r="CV23" s="185"/>
      <c r="CW23" s="186"/>
      <c r="CX23" s="186"/>
      <c r="CY23" s="186"/>
      <c r="CZ23" s="186"/>
      <c r="DA23" s="185"/>
      <c r="DB23" s="185"/>
      <c r="DC23" s="186"/>
      <c r="DD23" s="187"/>
    </row>
    <row r="24" spans="1:108" ht="14.1" customHeight="1" thickTop="1" thickBot="1">
      <c r="A24" s="102"/>
      <c r="B24" s="129">
        <v>1.8</v>
      </c>
      <c r="C24" s="130"/>
      <c r="D24" s="131">
        <v>5.69</v>
      </c>
      <c r="E24" s="131">
        <v>2.19</v>
      </c>
      <c r="F24" s="131">
        <v>1.32</v>
      </c>
      <c r="G24" s="131">
        <v>0.42</v>
      </c>
      <c r="H24" s="132">
        <v>0.19</v>
      </c>
      <c r="I24" s="133"/>
      <c r="J24" s="132"/>
      <c r="K24" s="130"/>
      <c r="L24" s="132">
        <v>6.0026725680934554</v>
      </c>
      <c r="M24" s="134"/>
      <c r="N24" s="175">
        <v>8.73</v>
      </c>
      <c r="O24" s="175">
        <v>6.34</v>
      </c>
      <c r="P24" s="135">
        <v>0.69</v>
      </c>
      <c r="Q24" s="136">
        <v>0.13</v>
      </c>
      <c r="R24" s="270">
        <v>4.6671876000000001E-2</v>
      </c>
      <c r="S24" s="270">
        <v>1.6270956000000003E-2</v>
      </c>
      <c r="T24" s="270">
        <v>0</v>
      </c>
      <c r="U24" s="270">
        <v>0</v>
      </c>
      <c r="V24" s="130"/>
      <c r="W24" s="131">
        <v>7.24</v>
      </c>
      <c r="X24" s="131">
        <v>2.4300000000000002</v>
      </c>
      <c r="Y24" s="132">
        <v>0.91</v>
      </c>
      <c r="Z24" s="134"/>
      <c r="AA24" s="135"/>
      <c r="AB24" s="136">
        <v>3.2</v>
      </c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88"/>
      <c r="AN24" s="188"/>
      <c r="AO24" s="188"/>
      <c r="AP24" s="188"/>
      <c r="AQ24" s="188"/>
      <c r="AR24" s="188"/>
      <c r="AS24" s="189"/>
      <c r="AT24" s="189"/>
      <c r="AU24" s="189"/>
      <c r="AV24" s="189"/>
      <c r="AW24" s="188">
        <v>1.9</v>
      </c>
      <c r="AX24" s="188">
        <v>0.4</v>
      </c>
      <c r="AY24" s="189"/>
      <c r="AZ24" s="189"/>
      <c r="BA24" s="189"/>
      <c r="BB24" s="189"/>
      <c r="BC24" s="188">
        <v>0.54</v>
      </c>
      <c r="BD24" s="188">
        <v>0.28000000000000003</v>
      </c>
      <c r="BE24" s="189"/>
      <c r="BF24" s="189"/>
      <c r="BG24" s="189"/>
      <c r="BH24" s="189"/>
      <c r="BI24" s="189"/>
      <c r="BJ24" s="190"/>
      <c r="BK24" s="140"/>
      <c r="BL24" s="131"/>
      <c r="BM24" s="131"/>
      <c r="BN24" s="131"/>
      <c r="BO24" s="131"/>
      <c r="BP24" s="131"/>
      <c r="BQ24" s="131"/>
      <c r="BR24" s="131"/>
      <c r="BS24" s="131"/>
      <c r="BT24" s="131"/>
      <c r="BU24" s="135"/>
      <c r="BV24" s="175"/>
      <c r="BW24" s="175"/>
      <c r="BX24" s="135"/>
      <c r="BY24" s="135"/>
      <c r="BZ24" s="131"/>
      <c r="CA24" s="131"/>
      <c r="CB24" s="131"/>
      <c r="CC24" s="131"/>
      <c r="CD24" s="135"/>
      <c r="CE24" s="135"/>
      <c r="CF24" s="135"/>
      <c r="CG24" s="191"/>
      <c r="CH24" s="191"/>
      <c r="CI24" s="191"/>
      <c r="CJ24" s="191"/>
      <c r="CK24" s="191"/>
      <c r="CL24" s="191"/>
      <c r="CM24" s="191"/>
      <c r="CN24" s="191"/>
      <c r="CO24" s="191"/>
      <c r="CP24" s="191"/>
      <c r="CQ24" s="191"/>
      <c r="CR24" s="191"/>
      <c r="CS24" s="191"/>
      <c r="CT24" s="191"/>
      <c r="CU24" s="191"/>
      <c r="CV24" s="191"/>
      <c r="CW24" s="192"/>
      <c r="CX24" s="192"/>
      <c r="CY24" s="192"/>
      <c r="CZ24" s="192"/>
      <c r="DA24" s="191"/>
      <c r="DB24" s="191"/>
      <c r="DC24" s="192"/>
      <c r="DD24" s="193"/>
    </row>
    <row r="25" spans="1:108" ht="14.1" customHeight="1" thickTop="1" thickBot="1">
      <c r="A25" s="102"/>
      <c r="B25" s="103">
        <v>1.9</v>
      </c>
      <c r="C25" s="104"/>
      <c r="D25" s="105">
        <v>6.33</v>
      </c>
      <c r="E25" s="105">
        <v>2.4300000000000002</v>
      </c>
      <c r="F25" s="105">
        <v>1.47</v>
      </c>
      <c r="G25" s="105">
        <v>0.47</v>
      </c>
      <c r="H25" s="106">
        <v>0.22</v>
      </c>
      <c r="I25" s="107"/>
      <c r="J25" s="106"/>
      <c r="K25" s="104"/>
      <c r="L25" s="106">
        <v>6.5486113812918019</v>
      </c>
      <c r="M25" s="108"/>
      <c r="N25" s="143">
        <v>9.73</v>
      </c>
      <c r="O25" s="143">
        <v>7.06</v>
      </c>
      <c r="P25" s="109">
        <v>0.76</v>
      </c>
      <c r="Q25" s="110">
        <v>0.15</v>
      </c>
      <c r="R25" s="270">
        <v>5.2001688999999997E-2</v>
      </c>
      <c r="S25" s="270">
        <v>1.8129058999999999E-2</v>
      </c>
      <c r="T25" s="270">
        <v>0</v>
      </c>
      <c r="U25" s="270">
        <v>0</v>
      </c>
      <c r="V25" s="104"/>
      <c r="W25" s="105">
        <v>7.92</v>
      </c>
      <c r="X25" s="105">
        <v>2.68</v>
      </c>
      <c r="Y25" s="106">
        <v>0.95</v>
      </c>
      <c r="Z25" s="108"/>
      <c r="AA25" s="109"/>
      <c r="AB25" s="110">
        <v>3.7</v>
      </c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3"/>
      <c r="AT25" s="183"/>
      <c r="AU25" s="183"/>
      <c r="AV25" s="183"/>
      <c r="AW25" s="182">
        <v>2.1</v>
      </c>
      <c r="AX25" s="182">
        <v>0.44</v>
      </c>
      <c r="AY25" s="183"/>
      <c r="AZ25" s="183"/>
      <c r="BA25" s="183"/>
      <c r="BB25" s="183"/>
      <c r="BC25" s="182">
        <v>0.59</v>
      </c>
      <c r="BD25" s="182">
        <v>0.31</v>
      </c>
      <c r="BE25" s="183"/>
      <c r="BF25" s="183"/>
      <c r="BG25" s="183"/>
      <c r="BH25" s="183"/>
      <c r="BI25" s="183"/>
      <c r="BJ25" s="184"/>
      <c r="BK25" s="114"/>
      <c r="BL25" s="105"/>
      <c r="BM25" s="105"/>
      <c r="BN25" s="105"/>
      <c r="BO25" s="105"/>
      <c r="BP25" s="105"/>
      <c r="BQ25" s="105"/>
      <c r="BR25" s="105"/>
      <c r="BS25" s="105"/>
      <c r="BT25" s="105"/>
      <c r="BU25" s="109"/>
      <c r="BV25" s="143"/>
      <c r="BW25" s="143"/>
      <c r="BX25" s="109"/>
      <c r="BY25" s="109"/>
      <c r="BZ25" s="105"/>
      <c r="CA25" s="105"/>
      <c r="CB25" s="105"/>
      <c r="CC25" s="105"/>
      <c r="CD25" s="109"/>
      <c r="CE25" s="109"/>
      <c r="CF25" s="109"/>
      <c r="CG25" s="185"/>
      <c r="CH25" s="185"/>
      <c r="CI25" s="185"/>
      <c r="CJ25" s="185"/>
      <c r="CK25" s="185"/>
      <c r="CL25" s="185"/>
      <c r="CM25" s="185"/>
      <c r="CN25" s="185"/>
      <c r="CO25" s="185"/>
      <c r="CP25" s="185"/>
      <c r="CQ25" s="185"/>
      <c r="CR25" s="185"/>
      <c r="CS25" s="185"/>
      <c r="CT25" s="185"/>
      <c r="CU25" s="185"/>
      <c r="CV25" s="185"/>
      <c r="CW25" s="186"/>
      <c r="CX25" s="186"/>
      <c r="CY25" s="186"/>
      <c r="CZ25" s="186"/>
      <c r="DA25" s="185"/>
      <c r="DB25" s="185"/>
      <c r="DC25" s="186"/>
      <c r="DD25" s="187"/>
    </row>
    <row r="26" spans="1:108" ht="14.1" customHeight="1" thickTop="1" thickBot="1">
      <c r="A26" s="102"/>
      <c r="B26" s="194">
        <v>2</v>
      </c>
      <c r="C26" s="195"/>
      <c r="D26" s="196">
        <v>6.99</v>
      </c>
      <c r="E26" s="196">
        <v>2.69</v>
      </c>
      <c r="F26" s="196">
        <v>1.63</v>
      </c>
      <c r="G26" s="196">
        <v>0.52</v>
      </c>
      <c r="H26" s="197">
        <v>0.24</v>
      </c>
      <c r="I26" s="198"/>
      <c r="J26" s="197"/>
      <c r="K26" s="195"/>
      <c r="L26" s="197">
        <v>7.1123679137562057</v>
      </c>
      <c r="M26" s="199"/>
      <c r="N26" s="200"/>
      <c r="O26" s="200">
        <v>7.82</v>
      </c>
      <c r="P26" s="201">
        <v>0.85</v>
      </c>
      <c r="Q26" s="202">
        <v>0.16</v>
      </c>
      <c r="R26" s="270">
        <v>5.76196E-2</v>
      </c>
      <c r="S26" s="270">
        <v>2.0087600000000001E-2</v>
      </c>
      <c r="T26" s="270">
        <v>0</v>
      </c>
      <c r="U26" s="270">
        <v>0</v>
      </c>
      <c r="V26" s="195"/>
      <c r="W26" s="196">
        <v>8.61</v>
      </c>
      <c r="X26" s="196">
        <v>2.95</v>
      </c>
      <c r="Y26" s="197">
        <v>0.99</v>
      </c>
      <c r="Z26" s="199"/>
      <c r="AA26" s="201"/>
      <c r="AB26" s="202">
        <v>4.3899999999999997</v>
      </c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4"/>
      <c r="AT26" s="204"/>
      <c r="AU26" s="204"/>
      <c r="AV26" s="204"/>
      <c r="AW26" s="203">
        <v>2.31</v>
      </c>
      <c r="AX26" s="203">
        <v>0.49</v>
      </c>
      <c r="AY26" s="204"/>
      <c r="AZ26" s="204"/>
      <c r="BA26" s="204"/>
      <c r="BB26" s="204"/>
      <c r="BC26" s="203">
        <v>0.65</v>
      </c>
      <c r="BD26" s="203">
        <v>0.35</v>
      </c>
      <c r="BE26" s="204"/>
      <c r="BF26" s="204"/>
      <c r="BG26" s="204"/>
      <c r="BH26" s="204"/>
      <c r="BI26" s="204"/>
      <c r="BJ26" s="205"/>
      <c r="BK26" s="206"/>
      <c r="BL26" s="196"/>
      <c r="BM26" s="196"/>
      <c r="BN26" s="196"/>
      <c r="BO26" s="196"/>
      <c r="BP26" s="196"/>
      <c r="BQ26" s="196"/>
      <c r="BR26" s="196"/>
      <c r="BS26" s="196"/>
      <c r="BT26" s="196"/>
      <c r="BU26" s="201"/>
      <c r="BV26" s="200"/>
      <c r="BW26" s="200"/>
      <c r="BX26" s="201"/>
      <c r="BY26" s="201"/>
      <c r="BZ26" s="196"/>
      <c r="CA26" s="196"/>
      <c r="CB26" s="196"/>
      <c r="CC26" s="196"/>
      <c r="CD26" s="201"/>
      <c r="CE26" s="201"/>
      <c r="CF26" s="201"/>
      <c r="CG26" s="207"/>
      <c r="CH26" s="207"/>
      <c r="CI26" s="207"/>
      <c r="CJ26" s="207"/>
      <c r="CK26" s="207"/>
      <c r="CL26" s="207"/>
      <c r="CM26" s="207"/>
      <c r="CN26" s="207"/>
      <c r="CO26" s="207"/>
      <c r="CP26" s="207"/>
      <c r="CQ26" s="207"/>
      <c r="CR26" s="207"/>
      <c r="CS26" s="207"/>
      <c r="CT26" s="207"/>
      <c r="CU26" s="207"/>
      <c r="CV26" s="207"/>
      <c r="CW26" s="208"/>
      <c r="CX26" s="208"/>
      <c r="CY26" s="208"/>
      <c r="CZ26" s="208"/>
      <c r="DA26" s="207"/>
      <c r="DB26" s="207"/>
      <c r="DC26" s="208"/>
      <c r="DD26" s="209"/>
    </row>
    <row r="27" spans="1:108" ht="14.1" customHeight="1" thickTop="1" thickBot="1">
      <c r="A27" s="210"/>
      <c r="B27" s="103">
        <v>2.1</v>
      </c>
      <c r="C27" s="104"/>
      <c r="D27" s="105"/>
      <c r="E27" s="105">
        <v>2.95</v>
      </c>
      <c r="F27" s="105">
        <v>1.79</v>
      </c>
      <c r="G27" s="105">
        <v>0.56999999999999995</v>
      </c>
      <c r="H27" s="106">
        <v>0.26</v>
      </c>
      <c r="I27" s="107"/>
      <c r="J27" s="106"/>
      <c r="K27" s="104"/>
      <c r="L27" s="106"/>
      <c r="M27" s="108"/>
      <c r="N27" s="109"/>
      <c r="O27" s="143">
        <v>8.6300000000000008</v>
      </c>
      <c r="P27" s="109">
        <v>0.93</v>
      </c>
      <c r="Q27" s="110">
        <v>0.18</v>
      </c>
      <c r="R27" s="270">
        <v>6.3525608999999997E-2</v>
      </c>
      <c r="S27" s="270">
        <v>2.2146579000000003E-2</v>
      </c>
      <c r="T27" s="270">
        <v>0</v>
      </c>
      <c r="U27" s="270">
        <v>0</v>
      </c>
      <c r="V27" s="104"/>
      <c r="W27" s="105"/>
      <c r="X27" s="105">
        <v>3.23</v>
      </c>
      <c r="Y27" s="106">
        <v>1.03</v>
      </c>
      <c r="Z27" s="108"/>
      <c r="AA27" s="109"/>
      <c r="AB27" s="110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3"/>
      <c r="AT27" s="183"/>
      <c r="AU27" s="183"/>
      <c r="AV27" s="183"/>
      <c r="AW27" s="182">
        <v>2.5299999999999998</v>
      </c>
      <c r="AX27" s="182">
        <v>0.53</v>
      </c>
      <c r="AY27" s="183"/>
      <c r="AZ27" s="183"/>
      <c r="BA27" s="183"/>
      <c r="BB27" s="183"/>
      <c r="BC27" s="182">
        <v>0.72</v>
      </c>
      <c r="BD27" s="182">
        <v>0.4</v>
      </c>
      <c r="BE27" s="183"/>
      <c r="BF27" s="183"/>
      <c r="BG27" s="183"/>
      <c r="BH27" s="183"/>
      <c r="BI27" s="183"/>
      <c r="BJ27" s="184"/>
      <c r="BK27" s="114"/>
      <c r="BL27" s="105"/>
      <c r="BM27" s="105"/>
      <c r="BN27" s="105"/>
      <c r="BO27" s="105"/>
      <c r="BP27" s="105"/>
      <c r="BQ27" s="105"/>
      <c r="BR27" s="105"/>
      <c r="BS27" s="105"/>
      <c r="BT27" s="105"/>
      <c r="BU27" s="109"/>
      <c r="BV27" s="109"/>
      <c r="BW27" s="143"/>
      <c r="BX27" s="109"/>
      <c r="BY27" s="109"/>
      <c r="BZ27" s="105"/>
      <c r="CA27" s="105"/>
      <c r="CB27" s="105"/>
      <c r="CC27" s="105"/>
      <c r="CD27" s="109"/>
      <c r="CE27" s="109"/>
      <c r="CF27" s="109"/>
      <c r="CG27" s="185"/>
      <c r="CH27" s="185"/>
      <c r="CI27" s="185"/>
      <c r="CJ27" s="185"/>
      <c r="CK27" s="185"/>
      <c r="CL27" s="185"/>
      <c r="CM27" s="185"/>
      <c r="CN27" s="185"/>
      <c r="CO27" s="185"/>
      <c r="CP27" s="185"/>
      <c r="CQ27" s="185"/>
      <c r="CR27" s="185"/>
      <c r="CS27" s="185"/>
      <c r="CT27" s="185"/>
      <c r="CU27" s="185"/>
      <c r="CV27" s="185"/>
      <c r="CW27" s="186"/>
      <c r="CX27" s="186"/>
      <c r="CY27" s="186"/>
      <c r="CZ27" s="186"/>
      <c r="DA27" s="185"/>
      <c r="DB27" s="185"/>
      <c r="DC27" s="186"/>
      <c r="DD27" s="187"/>
    </row>
    <row r="28" spans="1:108" ht="14.1" customHeight="1" thickTop="1" thickBot="1">
      <c r="A28" s="210"/>
      <c r="B28" s="103">
        <v>2.2000000000000002</v>
      </c>
      <c r="C28" s="104"/>
      <c r="D28" s="105"/>
      <c r="E28" s="105">
        <v>3.23</v>
      </c>
      <c r="F28" s="105">
        <v>1.97</v>
      </c>
      <c r="G28" s="105">
        <v>0.63</v>
      </c>
      <c r="H28" s="106">
        <v>0.28999999999999998</v>
      </c>
      <c r="I28" s="107"/>
      <c r="J28" s="106"/>
      <c r="K28" s="104"/>
      <c r="L28" s="106"/>
      <c r="M28" s="108"/>
      <c r="N28" s="109"/>
      <c r="O28" s="143">
        <v>9.4700000000000006</v>
      </c>
      <c r="P28" s="109">
        <v>1.02</v>
      </c>
      <c r="Q28" s="110">
        <v>0.2</v>
      </c>
      <c r="R28" s="270">
        <v>6.9719716000000015E-2</v>
      </c>
      <c r="S28" s="270">
        <v>2.4305996000000003E-2</v>
      </c>
      <c r="T28" s="270">
        <v>0</v>
      </c>
      <c r="U28" s="270">
        <v>0</v>
      </c>
      <c r="V28" s="104"/>
      <c r="W28" s="105"/>
      <c r="X28" s="105">
        <v>3.53</v>
      </c>
      <c r="Y28" s="106">
        <v>1.08</v>
      </c>
      <c r="Z28" s="108"/>
      <c r="AA28" s="109"/>
      <c r="AB28" s="110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3"/>
      <c r="AT28" s="183"/>
      <c r="AU28" s="183"/>
      <c r="AV28" s="183"/>
      <c r="AW28" s="182">
        <v>2.75</v>
      </c>
      <c r="AX28" s="182">
        <v>0.57999999999999996</v>
      </c>
      <c r="AY28" s="183"/>
      <c r="AZ28" s="183"/>
      <c r="BA28" s="183"/>
      <c r="BB28" s="183"/>
      <c r="BC28" s="182">
        <v>0.78</v>
      </c>
      <c r="BD28" s="182">
        <v>0.44</v>
      </c>
      <c r="BE28" s="183"/>
      <c r="BF28" s="183"/>
      <c r="BG28" s="183"/>
      <c r="BH28" s="183"/>
      <c r="BI28" s="183"/>
      <c r="BJ28" s="184"/>
      <c r="BK28" s="114"/>
      <c r="BL28" s="105"/>
      <c r="BM28" s="105"/>
      <c r="BN28" s="105"/>
      <c r="BO28" s="105"/>
      <c r="BP28" s="105"/>
      <c r="BQ28" s="105"/>
      <c r="BR28" s="105"/>
      <c r="BS28" s="105"/>
      <c r="BT28" s="105"/>
      <c r="BU28" s="109"/>
      <c r="BV28" s="109"/>
      <c r="BW28" s="143"/>
      <c r="BX28" s="109"/>
      <c r="BY28" s="109"/>
      <c r="BZ28" s="105"/>
      <c r="CA28" s="105"/>
      <c r="CB28" s="105"/>
      <c r="CC28" s="105"/>
      <c r="CD28" s="109"/>
      <c r="CE28" s="109"/>
      <c r="CF28" s="109"/>
      <c r="CG28" s="185"/>
      <c r="CH28" s="185"/>
      <c r="CI28" s="185"/>
      <c r="CJ28" s="185"/>
      <c r="CK28" s="185"/>
      <c r="CL28" s="185"/>
      <c r="CM28" s="185"/>
      <c r="CN28" s="185"/>
      <c r="CO28" s="185"/>
      <c r="CP28" s="185"/>
      <c r="CQ28" s="185"/>
      <c r="CR28" s="185"/>
      <c r="CS28" s="185"/>
      <c r="CT28" s="185"/>
      <c r="CU28" s="185"/>
      <c r="CV28" s="185"/>
      <c r="CW28" s="186"/>
      <c r="CX28" s="186"/>
      <c r="CY28" s="186"/>
      <c r="CZ28" s="186"/>
      <c r="DA28" s="185"/>
      <c r="DB28" s="185"/>
      <c r="DC28" s="186"/>
      <c r="DD28" s="187"/>
    </row>
    <row r="29" spans="1:108" ht="14.1" customHeight="1" thickTop="1" thickBot="1">
      <c r="B29" s="103">
        <v>2.2999999999999998</v>
      </c>
      <c r="C29" s="104"/>
      <c r="D29" s="105"/>
      <c r="E29" s="105">
        <v>3.52</v>
      </c>
      <c r="F29" s="105">
        <v>2.15</v>
      </c>
      <c r="G29" s="105">
        <v>0.69</v>
      </c>
      <c r="H29" s="106">
        <v>0.32</v>
      </c>
      <c r="I29" s="107"/>
      <c r="J29" s="106"/>
      <c r="K29" s="104"/>
      <c r="L29" s="106"/>
      <c r="M29" s="108"/>
      <c r="N29" s="109"/>
      <c r="O29" s="143"/>
      <c r="P29" s="109">
        <v>1.1200000000000001</v>
      </c>
      <c r="Q29" s="110">
        <v>0.22</v>
      </c>
      <c r="R29" s="270">
        <v>7.6201920999999992E-2</v>
      </c>
      <c r="S29" s="270">
        <v>2.6565850999999998E-2</v>
      </c>
      <c r="T29" s="270">
        <v>0</v>
      </c>
      <c r="U29" s="270">
        <v>0</v>
      </c>
      <c r="V29" s="104"/>
      <c r="W29" s="105"/>
      <c r="X29" s="105">
        <v>3.84</v>
      </c>
      <c r="Y29" s="106">
        <v>1.1200000000000001</v>
      </c>
      <c r="Z29" s="108"/>
      <c r="AA29" s="109"/>
      <c r="AB29" s="110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3"/>
      <c r="AT29" s="183"/>
      <c r="AU29" s="183"/>
      <c r="AV29" s="183"/>
      <c r="AW29" s="182">
        <v>2.99</v>
      </c>
      <c r="AX29" s="182">
        <v>0.63</v>
      </c>
      <c r="AY29" s="183"/>
      <c r="AZ29" s="183"/>
      <c r="BA29" s="183"/>
      <c r="BB29" s="183"/>
      <c r="BC29" s="182">
        <v>0.85</v>
      </c>
      <c r="BD29" s="182">
        <v>0.49</v>
      </c>
      <c r="BE29" s="183"/>
      <c r="BF29" s="183"/>
      <c r="BG29" s="183"/>
      <c r="BH29" s="183"/>
      <c r="BI29" s="183"/>
      <c r="BJ29" s="184"/>
      <c r="BK29" s="114"/>
      <c r="BL29" s="105"/>
      <c r="BM29" s="105"/>
      <c r="BN29" s="105"/>
      <c r="BO29" s="105"/>
      <c r="BP29" s="105"/>
      <c r="BQ29" s="105"/>
      <c r="BR29" s="105"/>
      <c r="BS29" s="105"/>
      <c r="BT29" s="105"/>
      <c r="BU29" s="109"/>
      <c r="BV29" s="109"/>
      <c r="BW29" s="143"/>
      <c r="BX29" s="109"/>
      <c r="BY29" s="109"/>
      <c r="BZ29" s="105"/>
      <c r="CA29" s="105"/>
      <c r="CB29" s="105"/>
      <c r="CC29" s="105"/>
      <c r="CD29" s="109"/>
      <c r="CE29" s="109"/>
      <c r="CF29" s="109"/>
      <c r="CG29" s="185"/>
      <c r="CH29" s="185"/>
      <c r="CI29" s="185"/>
      <c r="CJ29" s="185"/>
      <c r="CK29" s="185"/>
      <c r="CL29" s="185"/>
      <c r="CM29" s="185"/>
      <c r="CN29" s="185"/>
      <c r="CO29" s="185"/>
      <c r="CP29" s="185"/>
      <c r="CQ29" s="185"/>
      <c r="CR29" s="185"/>
      <c r="CS29" s="185"/>
      <c r="CT29" s="185"/>
      <c r="CU29" s="185"/>
      <c r="CV29" s="185"/>
      <c r="CW29" s="186"/>
      <c r="CX29" s="186"/>
      <c r="CY29" s="186"/>
      <c r="CZ29" s="186"/>
      <c r="DA29" s="185"/>
      <c r="DB29" s="185"/>
      <c r="DC29" s="186"/>
      <c r="DD29" s="187"/>
    </row>
    <row r="30" spans="1:108" ht="14.1" customHeight="1" thickTop="1" thickBot="1">
      <c r="B30" s="103">
        <v>2.4</v>
      </c>
      <c r="C30" s="104"/>
      <c r="D30" s="105"/>
      <c r="E30" s="105">
        <v>3.83</v>
      </c>
      <c r="F30" s="105">
        <v>2.34</v>
      </c>
      <c r="G30" s="105">
        <v>0.75</v>
      </c>
      <c r="H30" s="106">
        <v>0.35</v>
      </c>
      <c r="I30" s="107"/>
      <c r="J30" s="106"/>
      <c r="K30" s="104"/>
      <c r="L30" s="106"/>
      <c r="M30" s="108"/>
      <c r="N30" s="109"/>
      <c r="O30" s="143"/>
      <c r="P30" s="109">
        <v>1.22</v>
      </c>
      <c r="Q30" s="110">
        <v>0.24</v>
      </c>
      <c r="R30" s="270">
        <v>8.2972223999999997E-2</v>
      </c>
      <c r="S30" s="270">
        <v>2.8926144000000001E-2</v>
      </c>
      <c r="T30" s="270">
        <v>0</v>
      </c>
      <c r="U30" s="270">
        <v>0</v>
      </c>
      <c r="V30" s="104"/>
      <c r="W30" s="105"/>
      <c r="X30" s="105">
        <v>4.17</v>
      </c>
      <c r="Y30" s="106">
        <v>1.17</v>
      </c>
      <c r="Z30" s="108"/>
      <c r="AA30" s="109"/>
      <c r="AB30" s="110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3"/>
      <c r="AT30" s="183"/>
      <c r="AU30" s="183"/>
      <c r="AV30" s="183"/>
      <c r="AW30" s="182">
        <v>3.23</v>
      </c>
      <c r="AX30" s="182">
        <v>0.69</v>
      </c>
      <c r="AY30" s="183"/>
      <c r="AZ30" s="183"/>
      <c r="BA30" s="183"/>
      <c r="BB30" s="183"/>
      <c r="BC30" s="182">
        <v>0.92</v>
      </c>
      <c r="BD30" s="182">
        <v>0.54</v>
      </c>
      <c r="BE30" s="183"/>
      <c r="BF30" s="183"/>
      <c r="BG30" s="183"/>
      <c r="BH30" s="183"/>
      <c r="BI30" s="183"/>
      <c r="BJ30" s="184"/>
      <c r="BK30" s="114"/>
      <c r="BL30" s="105"/>
      <c r="BM30" s="105"/>
      <c r="BN30" s="105"/>
      <c r="BO30" s="105"/>
      <c r="BP30" s="105"/>
      <c r="BQ30" s="105"/>
      <c r="BR30" s="105"/>
      <c r="BS30" s="105"/>
      <c r="BT30" s="105"/>
      <c r="BU30" s="109"/>
      <c r="BV30" s="109"/>
      <c r="BW30" s="143"/>
      <c r="BX30" s="109"/>
      <c r="BY30" s="109"/>
      <c r="BZ30" s="105"/>
      <c r="CA30" s="105"/>
      <c r="CB30" s="105"/>
      <c r="CC30" s="105"/>
      <c r="CD30" s="109"/>
      <c r="CE30" s="109"/>
      <c r="CF30" s="109"/>
      <c r="CG30" s="185"/>
      <c r="CH30" s="185"/>
      <c r="CI30" s="185"/>
      <c r="CJ30" s="185"/>
      <c r="CK30" s="185"/>
      <c r="CL30" s="185"/>
      <c r="CM30" s="185"/>
      <c r="CN30" s="185"/>
      <c r="CO30" s="185"/>
      <c r="CP30" s="185"/>
      <c r="CQ30" s="185"/>
      <c r="CR30" s="185"/>
      <c r="CS30" s="185"/>
      <c r="CT30" s="185"/>
      <c r="CU30" s="185"/>
      <c r="CV30" s="185"/>
      <c r="CW30" s="186"/>
      <c r="CX30" s="186"/>
      <c r="CY30" s="186"/>
      <c r="CZ30" s="186"/>
      <c r="DA30" s="185"/>
      <c r="DB30" s="185"/>
      <c r="DC30" s="186"/>
      <c r="DD30" s="187"/>
    </row>
    <row r="31" spans="1:108" ht="14.1" customHeight="1" thickTop="1" thickBot="1">
      <c r="B31" s="103">
        <v>2.5</v>
      </c>
      <c r="C31" s="104"/>
      <c r="D31" s="105"/>
      <c r="E31" s="105">
        <v>4.1399999999999997</v>
      </c>
      <c r="F31" s="105">
        <v>2.54</v>
      </c>
      <c r="G31" s="105">
        <v>0.81</v>
      </c>
      <c r="H31" s="106">
        <v>0.38</v>
      </c>
      <c r="I31" s="107"/>
      <c r="J31" s="106"/>
      <c r="K31" s="104"/>
      <c r="L31" s="106"/>
      <c r="M31" s="108"/>
      <c r="N31" s="109"/>
      <c r="O31" s="143"/>
      <c r="P31" s="109">
        <v>1.32</v>
      </c>
      <c r="Q31" s="110">
        <v>0.26</v>
      </c>
      <c r="R31" s="270">
        <v>9.0030625000000003E-2</v>
      </c>
      <c r="S31" s="270">
        <v>3.1386875000000002E-2</v>
      </c>
      <c r="T31" s="270">
        <v>0</v>
      </c>
      <c r="U31" s="270">
        <v>0</v>
      </c>
      <c r="V31" s="104"/>
      <c r="W31" s="105"/>
      <c r="X31" s="105">
        <v>4.51</v>
      </c>
      <c r="Y31" s="106">
        <v>1.22</v>
      </c>
      <c r="Z31" s="108"/>
      <c r="AA31" s="109"/>
      <c r="AB31" s="110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3"/>
      <c r="AT31" s="183"/>
      <c r="AU31" s="183"/>
      <c r="AV31" s="183"/>
      <c r="AW31" s="182">
        <v>3.49</v>
      </c>
      <c r="AX31" s="182">
        <v>0.74</v>
      </c>
      <c r="AY31" s="183"/>
      <c r="AZ31" s="183"/>
      <c r="BA31" s="183"/>
      <c r="BB31" s="183"/>
      <c r="BC31" s="182">
        <v>0.99</v>
      </c>
      <c r="BD31" s="182">
        <v>0.6</v>
      </c>
      <c r="BE31" s="183"/>
      <c r="BF31" s="183"/>
      <c r="BG31" s="183"/>
      <c r="BH31" s="183"/>
      <c r="BI31" s="183"/>
      <c r="BJ31" s="184"/>
      <c r="BK31" s="114"/>
      <c r="BL31" s="105"/>
      <c r="BM31" s="105"/>
      <c r="BN31" s="105"/>
      <c r="BO31" s="105"/>
      <c r="BP31" s="105"/>
      <c r="BQ31" s="105"/>
      <c r="BR31" s="105"/>
      <c r="BS31" s="105"/>
      <c r="BT31" s="105"/>
      <c r="BU31" s="109"/>
      <c r="BV31" s="109"/>
      <c r="BW31" s="143"/>
      <c r="BX31" s="109"/>
      <c r="BY31" s="109"/>
      <c r="BZ31" s="105"/>
      <c r="CA31" s="105"/>
      <c r="CB31" s="105"/>
      <c r="CC31" s="105"/>
      <c r="CD31" s="109"/>
      <c r="CE31" s="109"/>
      <c r="CF31" s="109"/>
      <c r="CG31" s="185"/>
      <c r="CH31" s="185"/>
      <c r="CI31" s="185"/>
      <c r="CJ31" s="185"/>
      <c r="CK31" s="185"/>
      <c r="CL31" s="185"/>
      <c r="CM31" s="185"/>
      <c r="CN31" s="185"/>
      <c r="CO31" s="185"/>
      <c r="CP31" s="185"/>
      <c r="CQ31" s="185"/>
      <c r="CR31" s="185"/>
      <c r="CS31" s="185"/>
      <c r="CT31" s="185"/>
      <c r="CU31" s="185"/>
      <c r="CV31" s="185"/>
      <c r="CW31" s="186"/>
      <c r="CX31" s="186"/>
      <c r="CY31" s="186"/>
      <c r="CZ31" s="186"/>
      <c r="DA31" s="185"/>
      <c r="DB31" s="185"/>
      <c r="DC31" s="186"/>
      <c r="DD31" s="187"/>
    </row>
    <row r="32" spans="1:108" ht="14.1" customHeight="1" thickTop="1" thickBot="1">
      <c r="B32" s="103">
        <v>2.6</v>
      </c>
      <c r="C32" s="104"/>
      <c r="D32" s="105"/>
      <c r="E32" s="105">
        <v>4.47</v>
      </c>
      <c r="F32" s="105">
        <v>2.75</v>
      </c>
      <c r="G32" s="105">
        <v>0.88</v>
      </c>
      <c r="H32" s="106">
        <v>0.41</v>
      </c>
      <c r="I32" s="107"/>
      <c r="J32" s="106"/>
      <c r="K32" s="104"/>
      <c r="L32" s="106"/>
      <c r="M32" s="108"/>
      <c r="N32" s="109"/>
      <c r="O32" s="143"/>
      <c r="P32" s="109">
        <v>1.43</v>
      </c>
      <c r="Q32" s="110">
        <v>0.28000000000000003</v>
      </c>
      <c r="R32" s="270">
        <v>9.7377124000000009E-2</v>
      </c>
      <c r="S32" s="270">
        <v>3.3948044000000004E-2</v>
      </c>
      <c r="T32" s="270">
        <v>0</v>
      </c>
      <c r="U32" s="270">
        <v>0</v>
      </c>
      <c r="V32" s="104"/>
      <c r="W32" s="105"/>
      <c r="X32" s="105">
        <v>4.8600000000000003</v>
      </c>
      <c r="Y32" s="106">
        <v>1.27</v>
      </c>
      <c r="Z32" s="108"/>
      <c r="AA32" s="109"/>
      <c r="AB32" s="110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3"/>
      <c r="AT32" s="183"/>
      <c r="AU32" s="183"/>
      <c r="AV32" s="183"/>
      <c r="AW32" s="182">
        <v>3.75</v>
      </c>
      <c r="AX32" s="182">
        <v>0.8</v>
      </c>
      <c r="AY32" s="183"/>
      <c r="AZ32" s="183"/>
      <c r="BA32" s="183"/>
      <c r="BB32" s="183"/>
      <c r="BC32" s="182">
        <v>1.06</v>
      </c>
      <c r="BD32" s="182">
        <v>0.65</v>
      </c>
      <c r="BE32" s="183"/>
      <c r="BF32" s="183"/>
      <c r="BG32" s="183"/>
      <c r="BH32" s="183"/>
      <c r="BI32" s="183"/>
      <c r="BJ32" s="184"/>
      <c r="BK32" s="114"/>
      <c r="BL32" s="105"/>
      <c r="BM32" s="105"/>
      <c r="BN32" s="105"/>
      <c r="BO32" s="105"/>
      <c r="BP32" s="105"/>
      <c r="BQ32" s="105"/>
      <c r="BR32" s="105"/>
      <c r="BS32" s="105"/>
      <c r="BT32" s="105"/>
      <c r="BU32" s="109"/>
      <c r="BV32" s="109"/>
      <c r="BW32" s="143"/>
      <c r="BX32" s="109"/>
      <c r="BY32" s="109"/>
      <c r="BZ32" s="105"/>
      <c r="CA32" s="105"/>
      <c r="CB32" s="105"/>
      <c r="CC32" s="105"/>
      <c r="CD32" s="109"/>
      <c r="CE32" s="109"/>
      <c r="CF32" s="109"/>
      <c r="CG32" s="185"/>
      <c r="CH32" s="185"/>
      <c r="CI32" s="185"/>
      <c r="CJ32" s="185"/>
      <c r="CK32" s="185"/>
      <c r="CL32" s="185"/>
      <c r="CM32" s="185"/>
      <c r="CN32" s="185"/>
      <c r="CO32" s="185"/>
      <c r="CP32" s="185"/>
      <c r="CQ32" s="185"/>
      <c r="CR32" s="185"/>
      <c r="CS32" s="185"/>
      <c r="CT32" s="185"/>
      <c r="CU32" s="185"/>
      <c r="CV32" s="185"/>
      <c r="CW32" s="186"/>
      <c r="CX32" s="186"/>
      <c r="CY32" s="186"/>
      <c r="CZ32" s="186"/>
      <c r="DA32" s="185"/>
      <c r="DB32" s="185"/>
      <c r="DC32" s="186"/>
      <c r="DD32" s="187"/>
    </row>
    <row r="33" spans="2:108" ht="14.1" customHeight="1" thickTop="1" thickBot="1">
      <c r="B33" s="103">
        <v>2.7</v>
      </c>
      <c r="C33" s="104"/>
      <c r="D33" s="105"/>
      <c r="E33" s="105">
        <v>4.8099999999999996</v>
      </c>
      <c r="F33" s="105">
        <v>2.96</v>
      </c>
      <c r="G33" s="105">
        <v>0.95</v>
      </c>
      <c r="H33" s="106">
        <v>0.44</v>
      </c>
      <c r="I33" s="107"/>
      <c r="J33" s="106"/>
      <c r="K33" s="104"/>
      <c r="L33" s="106"/>
      <c r="M33" s="108"/>
      <c r="N33" s="109"/>
      <c r="O33" s="143"/>
      <c r="P33" s="109">
        <v>1.54</v>
      </c>
      <c r="Q33" s="110">
        <v>0.3</v>
      </c>
      <c r="R33" s="270">
        <v>0.10501172100000002</v>
      </c>
      <c r="S33" s="270">
        <v>3.6609651000000007E-2</v>
      </c>
      <c r="T33" s="270">
        <v>0</v>
      </c>
      <c r="U33" s="270">
        <v>0</v>
      </c>
      <c r="V33" s="104"/>
      <c r="W33" s="105"/>
      <c r="X33" s="105">
        <v>5.24</v>
      </c>
      <c r="Y33" s="106">
        <v>1.32</v>
      </c>
      <c r="Z33" s="108"/>
      <c r="AA33" s="109"/>
      <c r="AB33" s="110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3"/>
      <c r="AT33" s="183"/>
      <c r="AU33" s="183"/>
      <c r="AV33" s="183"/>
      <c r="AW33" s="182">
        <v>4.0199999999999996</v>
      </c>
      <c r="AX33" s="182">
        <v>0.86</v>
      </c>
      <c r="AY33" s="183"/>
      <c r="AZ33" s="183"/>
      <c r="BA33" s="183"/>
      <c r="BB33" s="183"/>
      <c r="BC33" s="182">
        <v>1.1399999999999999</v>
      </c>
      <c r="BD33" s="182">
        <v>0.72</v>
      </c>
      <c r="BE33" s="183"/>
      <c r="BF33" s="183"/>
      <c r="BG33" s="183"/>
      <c r="BH33" s="183"/>
      <c r="BI33" s="183"/>
      <c r="BJ33" s="184"/>
      <c r="BK33" s="114"/>
      <c r="BL33" s="105"/>
      <c r="BM33" s="105"/>
      <c r="BN33" s="105"/>
      <c r="BO33" s="105"/>
      <c r="BP33" s="105"/>
      <c r="BQ33" s="105"/>
      <c r="BR33" s="105"/>
      <c r="BS33" s="105"/>
      <c r="BT33" s="105"/>
      <c r="BU33" s="109"/>
      <c r="BV33" s="109"/>
      <c r="BW33" s="143"/>
      <c r="BX33" s="109"/>
      <c r="BY33" s="109"/>
      <c r="BZ33" s="105"/>
      <c r="CA33" s="105"/>
      <c r="CB33" s="105"/>
      <c r="CC33" s="105"/>
      <c r="CD33" s="109"/>
      <c r="CE33" s="109"/>
      <c r="CF33" s="109"/>
      <c r="CG33" s="185"/>
      <c r="CH33" s="185"/>
      <c r="CI33" s="185"/>
      <c r="CJ33" s="185"/>
      <c r="CK33" s="185"/>
      <c r="CL33" s="185"/>
      <c r="CM33" s="185"/>
      <c r="CN33" s="185"/>
      <c r="CO33" s="185"/>
      <c r="CP33" s="185"/>
      <c r="CQ33" s="185"/>
      <c r="CR33" s="185"/>
      <c r="CS33" s="185"/>
      <c r="CT33" s="185"/>
      <c r="CU33" s="185"/>
      <c r="CV33" s="185"/>
      <c r="CW33" s="186"/>
      <c r="CX33" s="186"/>
      <c r="CY33" s="186"/>
      <c r="CZ33" s="186"/>
      <c r="DA33" s="185"/>
      <c r="DB33" s="185"/>
      <c r="DC33" s="186"/>
      <c r="DD33" s="187"/>
    </row>
    <row r="34" spans="2:108" ht="14.1" customHeight="1" thickTop="1" thickBot="1">
      <c r="B34" s="103">
        <v>2.8</v>
      </c>
      <c r="C34" s="104"/>
      <c r="D34" s="105"/>
      <c r="E34" s="105">
        <v>5.16</v>
      </c>
      <c r="F34" s="105">
        <v>3.18</v>
      </c>
      <c r="G34" s="105">
        <v>1.02</v>
      </c>
      <c r="H34" s="106">
        <v>0.47</v>
      </c>
      <c r="I34" s="107"/>
      <c r="J34" s="106"/>
      <c r="K34" s="104"/>
      <c r="L34" s="106"/>
      <c r="M34" s="108"/>
      <c r="N34" s="109"/>
      <c r="O34" s="143"/>
      <c r="P34" s="109">
        <v>1.66</v>
      </c>
      <c r="Q34" s="110">
        <v>0.32</v>
      </c>
      <c r="R34" s="270">
        <v>0.11293441599999998</v>
      </c>
      <c r="S34" s="270">
        <v>3.9371695999999998E-2</v>
      </c>
      <c r="T34" s="270">
        <v>0</v>
      </c>
      <c r="U34" s="270">
        <v>0</v>
      </c>
      <c r="V34" s="104"/>
      <c r="W34" s="105"/>
      <c r="X34" s="105">
        <v>5.62</v>
      </c>
      <c r="Y34" s="106">
        <v>1.38</v>
      </c>
      <c r="Z34" s="104"/>
      <c r="AA34" s="109"/>
      <c r="AB34" s="110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3"/>
      <c r="AT34" s="183"/>
      <c r="AU34" s="183"/>
      <c r="AV34" s="183"/>
      <c r="AW34" s="182">
        <v>4.3</v>
      </c>
      <c r="AX34" s="182">
        <v>0.92</v>
      </c>
      <c r="AY34" s="183"/>
      <c r="AZ34" s="183"/>
      <c r="BA34" s="183"/>
      <c r="BB34" s="183"/>
      <c r="BC34" s="182">
        <v>1.22</v>
      </c>
      <c r="BD34" s="182">
        <v>0.78</v>
      </c>
      <c r="BE34" s="183"/>
      <c r="BF34" s="183"/>
      <c r="BG34" s="183"/>
      <c r="BH34" s="183"/>
      <c r="BI34" s="183"/>
      <c r="BJ34" s="184"/>
      <c r="BK34" s="114"/>
      <c r="BL34" s="105"/>
      <c r="BM34" s="105"/>
      <c r="BN34" s="105"/>
      <c r="BO34" s="105"/>
      <c r="BP34" s="105"/>
      <c r="BQ34" s="105"/>
      <c r="BR34" s="105"/>
      <c r="BS34" s="105"/>
      <c r="BT34" s="105"/>
      <c r="BU34" s="109"/>
      <c r="BV34" s="109"/>
      <c r="BW34" s="143"/>
      <c r="BX34" s="109"/>
      <c r="BY34" s="109"/>
      <c r="BZ34" s="105"/>
      <c r="CA34" s="105"/>
      <c r="CB34" s="105"/>
      <c r="CC34" s="105"/>
      <c r="CD34" s="105"/>
      <c r="CE34" s="109"/>
      <c r="CF34" s="109"/>
      <c r="CG34" s="185"/>
      <c r="CH34" s="185"/>
      <c r="CI34" s="185"/>
      <c r="CJ34" s="185"/>
      <c r="CK34" s="185"/>
      <c r="CL34" s="185"/>
      <c r="CM34" s="185"/>
      <c r="CN34" s="185"/>
      <c r="CO34" s="185"/>
      <c r="CP34" s="185"/>
      <c r="CQ34" s="185"/>
      <c r="CR34" s="185"/>
      <c r="CS34" s="185"/>
      <c r="CT34" s="185"/>
      <c r="CU34" s="185"/>
      <c r="CV34" s="185"/>
      <c r="CW34" s="186"/>
      <c r="CX34" s="186"/>
      <c r="CY34" s="186"/>
      <c r="CZ34" s="186"/>
      <c r="DA34" s="185"/>
      <c r="DB34" s="185"/>
      <c r="DC34" s="186"/>
      <c r="DD34" s="187"/>
    </row>
    <row r="35" spans="2:108" ht="14.1" customHeight="1" thickTop="1" thickBot="1">
      <c r="B35" s="103">
        <v>2.9</v>
      </c>
      <c r="C35" s="104"/>
      <c r="D35" s="105"/>
      <c r="E35" s="105">
        <v>5.52</v>
      </c>
      <c r="F35" s="105">
        <v>3.41</v>
      </c>
      <c r="G35" s="105">
        <v>1.0900000000000001</v>
      </c>
      <c r="H35" s="106">
        <v>0.5</v>
      </c>
      <c r="I35" s="107"/>
      <c r="J35" s="106"/>
      <c r="K35" s="104"/>
      <c r="L35" s="106"/>
      <c r="M35" s="108"/>
      <c r="N35" s="109"/>
      <c r="O35" s="143"/>
      <c r="P35" s="109">
        <v>1.78</v>
      </c>
      <c r="Q35" s="110">
        <v>0.35</v>
      </c>
      <c r="R35" s="270">
        <v>0.121145209</v>
      </c>
      <c r="S35" s="270">
        <v>4.2234179000000004E-2</v>
      </c>
      <c r="T35" s="270">
        <v>0</v>
      </c>
      <c r="U35" s="270">
        <v>0</v>
      </c>
      <c r="V35" s="104"/>
      <c r="W35" s="105"/>
      <c r="X35" s="105">
        <v>6.03</v>
      </c>
      <c r="Y35" s="106">
        <v>1.44</v>
      </c>
      <c r="Z35" s="104"/>
      <c r="AA35" s="109"/>
      <c r="AB35" s="110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3"/>
      <c r="AT35" s="183"/>
      <c r="AU35" s="183"/>
      <c r="AV35" s="183"/>
      <c r="AW35" s="182">
        <v>4.59</v>
      </c>
      <c r="AX35" s="182">
        <v>0.98</v>
      </c>
      <c r="AY35" s="183"/>
      <c r="AZ35" s="183"/>
      <c r="BA35" s="183"/>
      <c r="BB35" s="183"/>
      <c r="BC35" s="182">
        <v>1.3</v>
      </c>
      <c r="BD35" s="182">
        <v>0.85</v>
      </c>
      <c r="BE35" s="183"/>
      <c r="BF35" s="183"/>
      <c r="BG35" s="183"/>
      <c r="BH35" s="183"/>
      <c r="BI35" s="183"/>
      <c r="BJ35" s="184"/>
      <c r="BK35" s="114"/>
      <c r="BL35" s="105"/>
      <c r="BM35" s="105"/>
      <c r="BN35" s="105"/>
      <c r="BO35" s="105"/>
      <c r="BP35" s="105"/>
      <c r="BQ35" s="105"/>
      <c r="BR35" s="105"/>
      <c r="BS35" s="105"/>
      <c r="BT35" s="105"/>
      <c r="BU35" s="109"/>
      <c r="BV35" s="109"/>
      <c r="BW35" s="143"/>
      <c r="BX35" s="109"/>
      <c r="BY35" s="109"/>
      <c r="BZ35" s="105"/>
      <c r="CA35" s="105"/>
      <c r="CB35" s="105"/>
      <c r="CC35" s="105"/>
      <c r="CD35" s="105"/>
      <c r="CE35" s="109"/>
      <c r="CF35" s="109"/>
      <c r="CG35" s="185"/>
      <c r="CH35" s="185"/>
      <c r="CI35" s="185"/>
      <c r="CJ35" s="185"/>
      <c r="CK35" s="185"/>
      <c r="CL35" s="185"/>
      <c r="CM35" s="185"/>
      <c r="CN35" s="185"/>
      <c r="CO35" s="185"/>
      <c r="CP35" s="185"/>
      <c r="CQ35" s="185"/>
      <c r="CR35" s="185"/>
      <c r="CS35" s="185"/>
      <c r="CT35" s="185"/>
      <c r="CU35" s="185"/>
      <c r="CV35" s="185"/>
      <c r="CW35" s="186"/>
      <c r="CX35" s="186"/>
      <c r="CY35" s="186"/>
      <c r="CZ35" s="186"/>
      <c r="DA35" s="185"/>
      <c r="DB35" s="185"/>
      <c r="DC35" s="186"/>
      <c r="DD35" s="187"/>
    </row>
    <row r="36" spans="2:108" ht="14.1" customHeight="1" thickTop="1" thickBot="1">
      <c r="B36" s="103">
        <v>3</v>
      </c>
      <c r="C36" s="104"/>
      <c r="D36" s="105"/>
      <c r="E36" s="105">
        <v>5.9</v>
      </c>
      <c r="F36" s="105">
        <v>3.65</v>
      </c>
      <c r="G36" s="105">
        <v>1.17</v>
      </c>
      <c r="H36" s="106">
        <v>0.54</v>
      </c>
      <c r="I36" s="107"/>
      <c r="J36" s="106"/>
      <c r="K36" s="104"/>
      <c r="L36" s="106"/>
      <c r="M36" s="108"/>
      <c r="N36" s="109"/>
      <c r="O36" s="143"/>
      <c r="P36" s="109">
        <v>1.9</v>
      </c>
      <c r="Q36" s="110">
        <v>0.37</v>
      </c>
      <c r="R36" s="270">
        <v>0.12964410000000001</v>
      </c>
      <c r="S36" s="270">
        <v>4.5197100000000004E-2</v>
      </c>
      <c r="T36" s="270">
        <v>0</v>
      </c>
      <c r="U36" s="270">
        <v>0</v>
      </c>
      <c r="V36" s="104"/>
      <c r="W36" s="105"/>
      <c r="X36" s="345">
        <f>(8*10^-7*(B36*60)^3+0.0017*(B36*60)^2+0.0062*(B36*60)+2.3154)*0.102</f>
        <v>6.4440539999999986</v>
      </c>
      <c r="Y36" s="106">
        <v>1.5</v>
      </c>
      <c r="Z36" s="104"/>
      <c r="AA36" s="109"/>
      <c r="AB36" s="110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2"/>
      <c r="AT36" s="212"/>
      <c r="AU36" s="212"/>
      <c r="AV36" s="212"/>
      <c r="AW36" s="211">
        <v>4.88</v>
      </c>
      <c r="AX36" s="211">
        <v>1.05</v>
      </c>
      <c r="AY36" s="212"/>
      <c r="AZ36" s="212"/>
      <c r="BA36" s="212"/>
      <c r="BB36" s="212"/>
      <c r="BC36" s="211">
        <v>1.39</v>
      </c>
      <c r="BD36" s="211">
        <v>0.92</v>
      </c>
      <c r="BE36" s="212"/>
      <c r="BF36" s="212"/>
      <c r="BG36" s="212"/>
      <c r="BH36" s="212"/>
      <c r="BI36" s="212"/>
      <c r="BJ36" s="213"/>
      <c r="BK36" s="114"/>
      <c r="BL36" s="105"/>
      <c r="BM36" s="105"/>
      <c r="BN36" s="105"/>
      <c r="BO36" s="105"/>
      <c r="BP36" s="105"/>
      <c r="BQ36" s="105"/>
      <c r="BR36" s="105"/>
      <c r="BS36" s="105"/>
      <c r="BT36" s="105"/>
      <c r="BU36" s="109"/>
      <c r="BV36" s="109"/>
      <c r="BW36" s="143"/>
      <c r="BX36" s="109"/>
      <c r="BY36" s="109"/>
      <c r="BZ36" s="105"/>
      <c r="CA36" s="105"/>
      <c r="CB36" s="105"/>
      <c r="CC36" s="105"/>
      <c r="CD36" s="105"/>
      <c r="CE36" s="109"/>
      <c r="CF36" s="109"/>
      <c r="CG36" s="185"/>
      <c r="CH36" s="185"/>
      <c r="CI36" s="185"/>
      <c r="CJ36" s="185"/>
      <c r="CK36" s="185"/>
      <c r="CL36" s="185"/>
      <c r="CM36" s="185"/>
      <c r="CN36" s="185"/>
      <c r="CO36" s="185"/>
      <c r="CP36" s="185"/>
      <c r="CQ36" s="185"/>
      <c r="CR36" s="185"/>
      <c r="CS36" s="185"/>
      <c r="CT36" s="185"/>
      <c r="CU36" s="185"/>
      <c r="CV36" s="185"/>
      <c r="CW36" s="186"/>
      <c r="CX36" s="186"/>
      <c r="CY36" s="186"/>
      <c r="CZ36" s="186"/>
      <c r="DA36" s="185"/>
      <c r="DB36" s="185"/>
      <c r="DC36" s="186"/>
      <c r="DD36" s="187"/>
    </row>
    <row r="37" spans="2:108" ht="14.1" customHeight="1" thickTop="1" thickBot="1">
      <c r="B37" s="103">
        <v>3.1</v>
      </c>
      <c r="C37" s="104"/>
      <c r="D37" s="105"/>
      <c r="E37" s="105"/>
      <c r="F37" s="105">
        <v>3.9</v>
      </c>
      <c r="G37" s="105">
        <v>1.25</v>
      </c>
      <c r="H37" s="106">
        <v>0.57999999999999996</v>
      </c>
      <c r="I37" s="107"/>
      <c r="J37" s="106"/>
      <c r="K37" s="104"/>
      <c r="L37" s="106"/>
      <c r="M37" s="108"/>
      <c r="N37" s="109"/>
      <c r="O37" s="109"/>
      <c r="P37" s="109">
        <v>2.0299999999999998</v>
      </c>
      <c r="Q37" s="110">
        <v>0.4</v>
      </c>
      <c r="R37" s="270">
        <v>0.13843108900000001</v>
      </c>
      <c r="S37" s="270">
        <v>4.8260459000000006E-2</v>
      </c>
      <c r="T37" s="270">
        <v>0</v>
      </c>
      <c r="U37" s="270">
        <v>0</v>
      </c>
      <c r="V37" s="104"/>
      <c r="W37" s="105"/>
      <c r="X37" s="346">
        <v>6.8778278495999983</v>
      </c>
      <c r="Y37" s="106">
        <v>1.57</v>
      </c>
      <c r="Z37" s="104"/>
      <c r="AA37" s="109"/>
      <c r="AB37" s="110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5"/>
      <c r="BD37" s="215"/>
      <c r="BE37" s="215"/>
      <c r="BF37" s="215"/>
      <c r="BG37" s="215"/>
      <c r="BH37" s="215"/>
      <c r="BI37" s="215"/>
      <c r="BJ37" s="215"/>
      <c r="BK37" s="114"/>
      <c r="BL37" s="105"/>
      <c r="BM37" s="105"/>
      <c r="BN37" s="105"/>
      <c r="BO37" s="105"/>
      <c r="BP37" s="105"/>
      <c r="BQ37" s="105"/>
      <c r="BR37" s="105"/>
      <c r="BS37" s="105"/>
      <c r="BT37" s="105"/>
      <c r="BU37" s="109"/>
      <c r="BV37" s="109"/>
      <c r="BW37" s="109"/>
      <c r="BX37" s="109"/>
      <c r="BY37" s="109"/>
      <c r="BZ37" s="105"/>
      <c r="CA37" s="105"/>
      <c r="CB37" s="105"/>
      <c r="CC37" s="105"/>
      <c r="CD37" s="105"/>
      <c r="CE37" s="109"/>
      <c r="CF37" s="109"/>
      <c r="CG37" s="185"/>
      <c r="CH37" s="185"/>
      <c r="CI37" s="185"/>
      <c r="CJ37" s="185"/>
      <c r="CK37" s="185"/>
      <c r="CL37" s="185"/>
      <c r="CM37" s="185"/>
      <c r="CN37" s="185"/>
      <c r="CO37" s="185"/>
      <c r="CP37" s="185"/>
      <c r="CQ37" s="185"/>
      <c r="CR37" s="185"/>
      <c r="CS37" s="185"/>
      <c r="CT37" s="185"/>
      <c r="CU37" s="185"/>
      <c r="CV37" s="185"/>
      <c r="CW37" s="186"/>
      <c r="CX37" s="186"/>
      <c r="CY37" s="186"/>
      <c r="CZ37" s="186"/>
      <c r="DA37" s="186"/>
      <c r="DB37" s="186"/>
      <c r="DC37" s="186"/>
      <c r="DD37" s="187"/>
    </row>
    <row r="38" spans="2:108" ht="14.1" customHeight="1" thickTop="1" thickBot="1">
      <c r="B38" s="103">
        <v>3.2</v>
      </c>
      <c r="C38" s="104"/>
      <c r="D38" s="105"/>
      <c r="E38" s="105"/>
      <c r="F38" s="105">
        <v>4.1500000000000004</v>
      </c>
      <c r="G38" s="105">
        <v>1.33</v>
      </c>
      <c r="H38" s="106">
        <v>0.61</v>
      </c>
      <c r="I38" s="107"/>
      <c r="J38" s="106"/>
      <c r="K38" s="104"/>
      <c r="L38" s="106"/>
      <c r="M38" s="108"/>
      <c r="N38" s="109"/>
      <c r="O38" s="109"/>
      <c r="P38" s="109">
        <v>2.17</v>
      </c>
      <c r="Q38" s="110">
        <v>0.42</v>
      </c>
      <c r="R38" s="270">
        <v>0.14750617600000002</v>
      </c>
      <c r="S38" s="270">
        <v>5.1424256000000008E-2</v>
      </c>
      <c r="T38" s="270">
        <v>0</v>
      </c>
      <c r="U38" s="270">
        <v>0</v>
      </c>
      <c r="V38" s="104"/>
      <c r="W38" s="105"/>
      <c r="X38" s="346">
        <v>7.3273648607999986</v>
      </c>
      <c r="Y38" s="106">
        <v>1.63</v>
      </c>
      <c r="Z38" s="104"/>
      <c r="AA38" s="109"/>
      <c r="AB38" s="110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114"/>
      <c r="BL38" s="105"/>
      <c r="BM38" s="105"/>
      <c r="BN38" s="105"/>
      <c r="BO38" s="105"/>
      <c r="BP38" s="105"/>
      <c r="BQ38" s="105"/>
      <c r="BR38" s="105"/>
      <c r="BS38" s="105"/>
      <c r="BT38" s="105"/>
      <c r="BU38" s="109"/>
      <c r="BV38" s="109"/>
      <c r="BW38" s="109"/>
      <c r="BX38" s="109"/>
      <c r="BY38" s="109"/>
      <c r="BZ38" s="105"/>
      <c r="CA38" s="105"/>
      <c r="CB38" s="105"/>
      <c r="CC38" s="105"/>
      <c r="CD38" s="105"/>
      <c r="CE38" s="109"/>
      <c r="CF38" s="109"/>
      <c r="CG38" s="185"/>
      <c r="CH38" s="185"/>
      <c r="CI38" s="185"/>
      <c r="CJ38" s="185"/>
      <c r="CK38" s="185"/>
      <c r="CL38" s="185"/>
      <c r="CM38" s="185"/>
      <c r="CN38" s="185"/>
      <c r="CO38" s="185"/>
      <c r="CP38" s="185"/>
      <c r="CQ38" s="185"/>
      <c r="CR38" s="185"/>
      <c r="CS38" s="185"/>
      <c r="CT38" s="185"/>
      <c r="CU38" s="185"/>
      <c r="CV38" s="185"/>
      <c r="CW38" s="186"/>
      <c r="CX38" s="186"/>
      <c r="CY38" s="186"/>
      <c r="CZ38" s="186"/>
      <c r="DA38" s="186"/>
      <c r="DB38" s="186"/>
      <c r="DC38" s="186"/>
      <c r="DD38" s="187"/>
    </row>
    <row r="39" spans="2:108" ht="14.1" customHeight="1" thickTop="1" thickBot="1">
      <c r="B39" s="103">
        <v>3.3</v>
      </c>
      <c r="C39" s="104"/>
      <c r="D39" s="105"/>
      <c r="E39" s="105"/>
      <c r="F39" s="105">
        <v>4.41</v>
      </c>
      <c r="G39" s="105">
        <v>1.42</v>
      </c>
      <c r="H39" s="106">
        <v>0.65</v>
      </c>
      <c r="I39" s="107"/>
      <c r="J39" s="106"/>
      <c r="K39" s="104"/>
      <c r="L39" s="106"/>
      <c r="M39" s="108"/>
      <c r="N39" s="109"/>
      <c r="O39" s="109"/>
      <c r="P39" s="109">
        <v>2.2999999999999998</v>
      </c>
      <c r="Q39" s="110">
        <v>0.45</v>
      </c>
      <c r="R39" s="270">
        <v>0.15686936099999998</v>
      </c>
      <c r="S39" s="270">
        <v>5.4688490999999999E-2</v>
      </c>
      <c r="T39" s="270">
        <v>0.01</v>
      </c>
      <c r="U39" s="270">
        <v>0</v>
      </c>
      <c r="V39" s="104"/>
      <c r="W39" s="105"/>
      <c r="X39" s="346">
        <v>7.7927707871999994</v>
      </c>
      <c r="Y39" s="106">
        <v>1.7</v>
      </c>
      <c r="Z39" s="104"/>
      <c r="AA39" s="109"/>
      <c r="AB39" s="110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  <c r="BC39" s="215"/>
      <c r="BD39" s="215"/>
      <c r="BE39" s="215"/>
      <c r="BF39" s="215"/>
      <c r="BG39" s="215"/>
      <c r="BH39" s="215"/>
      <c r="BI39" s="215"/>
      <c r="BJ39" s="215"/>
      <c r="BK39" s="114"/>
      <c r="BL39" s="105"/>
      <c r="BM39" s="105"/>
      <c r="BN39" s="105"/>
      <c r="BO39" s="105"/>
      <c r="BP39" s="105"/>
      <c r="BQ39" s="105"/>
      <c r="BR39" s="105"/>
      <c r="BS39" s="105"/>
      <c r="BT39" s="105"/>
      <c r="BU39" s="109"/>
      <c r="BV39" s="109"/>
      <c r="BW39" s="109"/>
      <c r="BX39" s="109"/>
      <c r="BY39" s="109"/>
      <c r="BZ39" s="105"/>
      <c r="CA39" s="105"/>
      <c r="CB39" s="105"/>
      <c r="CC39" s="105"/>
      <c r="CD39" s="105"/>
      <c r="CE39" s="109"/>
      <c r="CF39" s="109"/>
      <c r="CG39" s="185"/>
      <c r="CH39" s="185"/>
      <c r="CI39" s="185"/>
      <c r="CJ39" s="185"/>
      <c r="CK39" s="185"/>
      <c r="CL39" s="185"/>
      <c r="CM39" s="185"/>
      <c r="CN39" s="185"/>
      <c r="CO39" s="185"/>
      <c r="CP39" s="185"/>
      <c r="CQ39" s="185"/>
      <c r="CR39" s="185"/>
      <c r="CS39" s="185"/>
      <c r="CT39" s="185"/>
      <c r="CU39" s="185"/>
      <c r="CV39" s="185"/>
      <c r="CW39" s="186"/>
      <c r="CX39" s="186"/>
      <c r="CY39" s="186"/>
      <c r="CZ39" s="186"/>
      <c r="DA39" s="186"/>
      <c r="DB39" s="186"/>
      <c r="DC39" s="186"/>
      <c r="DD39" s="187"/>
    </row>
    <row r="40" spans="2:108" ht="14.1" customHeight="1" thickTop="1" thickBot="1">
      <c r="B40" s="103">
        <v>3.4</v>
      </c>
      <c r="C40" s="104"/>
      <c r="D40" s="105"/>
      <c r="E40" s="105"/>
      <c r="F40" s="105">
        <v>4.68</v>
      </c>
      <c r="G40" s="105">
        <v>1.5</v>
      </c>
      <c r="H40" s="106">
        <v>0.69</v>
      </c>
      <c r="I40" s="107"/>
      <c r="J40" s="106"/>
      <c r="K40" s="104"/>
      <c r="L40" s="106"/>
      <c r="M40" s="108"/>
      <c r="N40" s="109"/>
      <c r="O40" s="109"/>
      <c r="P40" s="109">
        <v>2.44</v>
      </c>
      <c r="Q40" s="110">
        <v>0.48</v>
      </c>
      <c r="R40" s="270">
        <v>0.16652064399999997</v>
      </c>
      <c r="S40" s="270">
        <v>5.8053163999999997E-2</v>
      </c>
      <c r="T40" s="270">
        <v>0.01</v>
      </c>
      <c r="U40" s="270">
        <v>0</v>
      </c>
      <c r="V40" s="104"/>
      <c r="W40" s="105"/>
      <c r="X40" s="346">
        <v>8.2741513823999977</v>
      </c>
      <c r="Y40" s="106">
        <v>1.77</v>
      </c>
      <c r="Z40" s="104"/>
      <c r="AA40" s="109"/>
      <c r="AB40" s="110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5"/>
      <c r="AT40" s="215"/>
      <c r="AU40" s="215"/>
      <c r="AV40" s="215"/>
      <c r="AW40" s="215"/>
      <c r="AX40" s="215"/>
      <c r="AY40" s="215"/>
      <c r="AZ40" s="215"/>
      <c r="BA40" s="215"/>
      <c r="BB40" s="215"/>
      <c r="BC40" s="215"/>
      <c r="BD40" s="215"/>
      <c r="BE40" s="215"/>
      <c r="BF40" s="215"/>
      <c r="BG40" s="215"/>
      <c r="BH40" s="215"/>
      <c r="BI40" s="215"/>
      <c r="BJ40" s="215"/>
      <c r="BK40" s="114"/>
      <c r="BL40" s="105"/>
      <c r="BM40" s="105"/>
      <c r="BN40" s="105"/>
      <c r="BO40" s="105"/>
      <c r="BP40" s="105"/>
      <c r="BQ40" s="105"/>
      <c r="BR40" s="105"/>
      <c r="BS40" s="105"/>
      <c r="BT40" s="105"/>
      <c r="BU40" s="109"/>
      <c r="BV40" s="109"/>
      <c r="BW40" s="109"/>
      <c r="BX40" s="109"/>
      <c r="BY40" s="109"/>
      <c r="BZ40" s="105"/>
      <c r="CA40" s="105"/>
      <c r="CB40" s="105"/>
      <c r="CC40" s="105"/>
      <c r="CD40" s="105"/>
      <c r="CE40" s="109"/>
      <c r="CF40" s="109"/>
      <c r="CG40" s="185"/>
      <c r="CH40" s="185"/>
      <c r="CI40" s="185"/>
      <c r="CJ40" s="185"/>
      <c r="CK40" s="185"/>
      <c r="CL40" s="185"/>
      <c r="CM40" s="185"/>
      <c r="CN40" s="185"/>
      <c r="CO40" s="185"/>
      <c r="CP40" s="185"/>
      <c r="CQ40" s="185"/>
      <c r="CR40" s="185"/>
      <c r="CS40" s="185"/>
      <c r="CT40" s="185"/>
      <c r="CU40" s="185"/>
      <c r="CV40" s="185"/>
      <c r="CW40" s="186"/>
      <c r="CX40" s="186"/>
      <c r="CY40" s="186"/>
      <c r="CZ40" s="186"/>
      <c r="DA40" s="186"/>
      <c r="DB40" s="186"/>
      <c r="DC40" s="186"/>
      <c r="DD40" s="187"/>
    </row>
    <row r="41" spans="2:108" ht="14.1" customHeight="1" thickTop="1" thickBot="1">
      <c r="B41" s="103">
        <v>3.5</v>
      </c>
      <c r="C41" s="104"/>
      <c r="D41" s="105"/>
      <c r="E41" s="105"/>
      <c r="F41" s="105">
        <v>4.96</v>
      </c>
      <c r="G41" s="105">
        <v>1.59</v>
      </c>
      <c r="H41" s="106">
        <v>0.74</v>
      </c>
      <c r="I41" s="107"/>
      <c r="J41" s="106"/>
      <c r="K41" s="104"/>
      <c r="L41" s="106"/>
      <c r="M41" s="108"/>
      <c r="N41" s="109"/>
      <c r="O41" s="109"/>
      <c r="P41" s="109">
        <v>2.59</v>
      </c>
      <c r="Q41" s="110">
        <v>0.51</v>
      </c>
      <c r="R41" s="270">
        <v>0.17646002499999999</v>
      </c>
      <c r="S41" s="270">
        <v>6.1518275000000004E-2</v>
      </c>
      <c r="T41" s="270">
        <v>0.01</v>
      </c>
      <c r="U41" s="270">
        <v>0</v>
      </c>
      <c r="V41" s="104"/>
      <c r="W41" s="105"/>
      <c r="X41" s="346">
        <v>8.7716124000000004</v>
      </c>
      <c r="Y41" s="106">
        <v>1.85</v>
      </c>
      <c r="Z41" s="104"/>
      <c r="AA41" s="109"/>
      <c r="AB41" s="110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  <c r="BD41" s="215"/>
      <c r="BE41" s="215"/>
      <c r="BF41" s="215"/>
      <c r="BG41" s="215"/>
      <c r="BH41" s="215"/>
      <c r="BI41" s="215"/>
      <c r="BJ41" s="215"/>
      <c r="BK41" s="114"/>
      <c r="BL41" s="105"/>
      <c r="BM41" s="105"/>
      <c r="BN41" s="105"/>
      <c r="BO41" s="105"/>
      <c r="BP41" s="105"/>
      <c r="BQ41" s="105"/>
      <c r="BR41" s="105"/>
      <c r="BS41" s="105"/>
      <c r="BT41" s="105"/>
      <c r="BU41" s="109"/>
      <c r="BV41" s="109"/>
      <c r="BW41" s="109"/>
      <c r="BX41" s="109"/>
      <c r="BY41" s="109"/>
      <c r="BZ41" s="105"/>
      <c r="CA41" s="105"/>
      <c r="CB41" s="105"/>
      <c r="CC41" s="105"/>
      <c r="CD41" s="105"/>
      <c r="CE41" s="109"/>
      <c r="CF41" s="109"/>
      <c r="CG41" s="185"/>
      <c r="CH41" s="185"/>
      <c r="CI41" s="185"/>
      <c r="CJ41" s="185"/>
      <c r="CK41" s="185"/>
      <c r="CL41" s="185"/>
      <c r="CM41" s="185"/>
      <c r="CN41" s="185"/>
      <c r="CO41" s="185"/>
      <c r="CP41" s="185"/>
      <c r="CQ41" s="185"/>
      <c r="CR41" s="185"/>
      <c r="CS41" s="185"/>
      <c r="CT41" s="185"/>
      <c r="CU41" s="185"/>
      <c r="CV41" s="185"/>
      <c r="CW41" s="186"/>
      <c r="CX41" s="186"/>
      <c r="CY41" s="186"/>
      <c r="CZ41" s="186"/>
      <c r="DA41" s="186"/>
      <c r="DB41" s="186"/>
      <c r="DC41" s="186"/>
      <c r="DD41" s="187"/>
    </row>
    <row r="42" spans="2:108" ht="14.1" customHeight="1" thickTop="1" thickBot="1">
      <c r="B42" s="103">
        <v>3.6</v>
      </c>
      <c r="C42" s="104"/>
      <c r="D42" s="105"/>
      <c r="E42" s="105"/>
      <c r="F42" s="105">
        <v>5.25</v>
      </c>
      <c r="G42" s="105">
        <v>1.68</v>
      </c>
      <c r="H42" s="106">
        <v>0.78</v>
      </c>
      <c r="I42" s="107"/>
      <c r="J42" s="106"/>
      <c r="K42" s="104"/>
      <c r="L42" s="106"/>
      <c r="M42" s="108"/>
      <c r="N42" s="109"/>
      <c r="O42" s="109"/>
      <c r="P42" s="109">
        <v>2.74</v>
      </c>
      <c r="Q42" s="110">
        <v>0.53</v>
      </c>
      <c r="R42" s="270">
        <v>0.186687504</v>
      </c>
      <c r="S42" s="270">
        <v>6.5083824000000012E-2</v>
      </c>
      <c r="T42" s="270">
        <v>0.01</v>
      </c>
      <c r="U42" s="270">
        <v>0</v>
      </c>
      <c r="V42" s="104"/>
      <c r="W42" s="105"/>
      <c r="X42" s="346">
        <v>9.2852595935999975</v>
      </c>
      <c r="Y42" s="106">
        <v>1.93</v>
      </c>
      <c r="Z42" s="104"/>
      <c r="AA42" s="109"/>
      <c r="AB42" s="110"/>
      <c r="AC42" s="214"/>
      <c r="AD42" s="214"/>
      <c r="AE42" s="214"/>
      <c r="AF42" s="214"/>
      <c r="AG42" s="214"/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5"/>
      <c r="AT42" s="215"/>
      <c r="AU42" s="215"/>
      <c r="AV42" s="215"/>
      <c r="AW42" s="215"/>
      <c r="AX42" s="215"/>
      <c r="AY42" s="215"/>
      <c r="AZ42" s="215"/>
      <c r="BA42" s="215"/>
      <c r="BB42" s="215"/>
      <c r="BC42" s="215"/>
      <c r="BD42" s="215"/>
      <c r="BE42" s="215"/>
      <c r="BF42" s="215"/>
      <c r="BG42" s="215"/>
      <c r="BH42" s="215"/>
      <c r="BI42" s="215"/>
      <c r="BJ42" s="215"/>
      <c r="BK42" s="114"/>
      <c r="BL42" s="105"/>
      <c r="BM42" s="105"/>
      <c r="BN42" s="105"/>
      <c r="BO42" s="105"/>
      <c r="BP42" s="105"/>
      <c r="BQ42" s="105"/>
      <c r="BR42" s="105"/>
      <c r="BS42" s="105"/>
      <c r="BT42" s="105"/>
      <c r="BU42" s="109"/>
      <c r="BV42" s="109"/>
      <c r="BW42" s="109"/>
      <c r="BX42" s="109"/>
      <c r="BY42" s="109"/>
      <c r="BZ42" s="105"/>
      <c r="CA42" s="105"/>
      <c r="CB42" s="105"/>
      <c r="CC42" s="105"/>
      <c r="CD42" s="105"/>
      <c r="CE42" s="109"/>
      <c r="CF42" s="109"/>
      <c r="CG42" s="185"/>
      <c r="CH42" s="185"/>
      <c r="CI42" s="185"/>
      <c r="CJ42" s="185"/>
      <c r="CK42" s="185"/>
      <c r="CL42" s="185"/>
      <c r="CM42" s="185"/>
      <c r="CN42" s="185"/>
      <c r="CO42" s="185"/>
      <c r="CP42" s="185"/>
      <c r="CQ42" s="185"/>
      <c r="CR42" s="185"/>
      <c r="CS42" s="185"/>
      <c r="CT42" s="185"/>
      <c r="CU42" s="185"/>
      <c r="CV42" s="185"/>
      <c r="CW42" s="186"/>
      <c r="CX42" s="186"/>
      <c r="CY42" s="186"/>
      <c r="CZ42" s="186"/>
      <c r="DA42" s="186"/>
      <c r="DB42" s="186"/>
      <c r="DC42" s="186"/>
      <c r="DD42" s="187"/>
    </row>
    <row r="43" spans="2:108" ht="14.1" customHeight="1" thickTop="1" thickBot="1">
      <c r="B43" s="103">
        <v>3.7</v>
      </c>
      <c r="C43" s="104"/>
      <c r="D43" s="105"/>
      <c r="E43" s="105"/>
      <c r="F43" s="105">
        <v>5.54</v>
      </c>
      <c r="G43" s="105">
        <v>1.78</v>
      </c>
      <c r="H43" s="106">
        <v>0.82</v>
      </c>
      <c r="I43" s="107"/>
      <c r="J43" s="106"/>
      <c r="K43" s="104"/>
      <c r="L43" s="106"/>
      <c r="M43" s="108"/>
      <c r="N43" s="109"/>
      <c r="O43" s="109"/>
      <c r="P43" s="109">
        <v>2.89</v>
      </c>
      <c r="Q43" s="110">
        <v>0.56000000000000005</v>
      </c>
      <c r="R43" s="270">
        <v>0.19720308100000003</v>
      </c>
      <c r="S43" s="270">
        <v>6.8749811000000008E-2</v>
      </c>
      <c r="T43" s="270">
        <v>0.01</v>
      </c>
      <c r="U43" s="270">
        <v>0</v>
      </c>
      <c r="V43" s="104"/>
      <c r="W43" s="105"/>
      <c r="X43" s="346">
        <v>9.8151987167999994</v>
      </c>
      <c r="Y43" s="106">
        <v>2.0099999999999998</v>
      </c>
      <c r="Z43" s="104"/>
      <c r="AA43" s="109"/>
      <c r="AB43" s="110"/>
      <c r="AC43" s="214"/>
      <c r="AD43" s="214"/>
      <c r="AE43" s="214"/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  <c r="BI43" s="215"/>
      <c r="BJ43" s="215"/>
      <c r="BK43" s="114"/>
      <c r="BL43" s="105"/>
      <c r="BM43" s="105"/>
      <c r="BN43" s="105"/>
      <c r="BO43" s="105"/>
      <c r="BP43" s="105"/>
      <c r="BQ43" s="105"/>
      <c r="BR43" s="105"/>
      <c r="BS43" s="105"/>
      <c r="BT43" s="105"/>
      <c r="BU43" s="109"/>
      <c r="BV43" s="109"/>
      <c r="BW43" s="109"/>
      <c r="BX43" s="109"/>
      <c r="BY43" s="109"/>
      <c r="BZ43" s="105"/>
      <c r="CA43" s="105"/>
      <c r="CB43" s="105"/>
      <c r="CC43" s="105"/>
      <c r="CD43" s="105"/>
      <c r="CE43" s="109"/>
      <c r="CF43" s="109"/>
      <c r="CG43" s="185"/>
      <c r="CH43" s="185"/>
      <c r="CI43" s="185"/>
      <c r="CJ43" s="185"/>
      <c r="CK43" s="185"/>
      <c r="CL43" s="185"/>
      <c r="CM43" s="185"/>
      <c r="CN43" s="185"/>
      <c r="CO43" s="185"/>
      <c r="CP43" s="185"/>
      <c r="CQ43" s="185"/>
      <c r="CR43" s="185"/>
      <c r="CS43" s="185"/>
      <c r="CT43" s="185"/>
      <c r="CU43" s="185"/>
      <c r="CV43" s="185"/>
      <c r="CW43" s="186"/>
      <c r="CX43" s="186"/>
      <c r="CY43" s="186"/>
      <c r="CZ43" s="186"/>
      <c r="DA43" s="186"/>
      <c r="DB43" s="186"/>
      <c r="DC43" s="186"/>
      <c r="DD43" s="187"/>
    </row>
    <row r="44" spans="2:108" ht="14.1" customHeight="1" thickTop="1" thickBot="1">
      <c r="B44" s="103">
        <v>3.8</v>
      </c>
      <c r="C44" s="104"/>
      <c r="D44" s="105"/>
      <c r="E44" s="105"/>
      <c r="F44" s="105">
        <v>5.84</v>
      </c>
      <c r="G44" s="105">
        <v>1.88</v>
      </c>
      <c r="H44" s="106">
        <v>0.87</v>
      </c>
      <c r="I44" s="107"/>
      <c r="J44" s="106"/>
      <c r="K44" s="104"/>
      <c r="L44" s="106"/>
      <c r="M44" s="108"/>
      <c r="N44" s="109"/>
      <c r="O44" s="109"/>
      <c r="P44" s="109">
        <v>3.05</v>
      </c>
      <c r="Q44" s="110">
        <v>0.6</v>
      </c>
      <c r="R44" s="270">
        <v>0.20800675599999999</v>
      </c>
      <c r="S44" s="270">
        <v>7.2516235999999998E-2</v>
      </c>
      <c r="T44" s="270">
        <v>0.01</v>
      </c>
      <c r="U44" s="270">
        <v>0</v>
      </c>
      <c r="V44" s="104"/>
      <c r="W44" s="105"/>
      <c r="X44" s="346">
        <v>10.361535523199999</v>
      </c>
      <c r="Y44" s="106">
        <v>2.09</v>
      </c>
      <c r="Z44" s="104"/>
      <c r="AA44" s="109"/>
      <c r="AB44" s="110"/>
      <c r="AC44" s="214"/>
      <c r="AD44" s="214"/>
      <c r="AE44" s="214"/>
      <c r="AF44" s="214"/>
      <c r="AG44" s="214"/>
      <c r="AH44" s="214"/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5"/>
      <c r="AT44" s="215"/>
      <c r="AU44" s="215"/>
      <c r="AV44" s="215"/>
      <c r="AW44" s="215"/>
      <c r="AX44" s="215"/>
      <c r="AY44" s="215"/>
      <c r="AZ44" s="215"/>
      <c r="BA44" s="215"/>
      <c r="BB44" s="215"/>
      <c r="BC44" s="215"/>
      <c r="BD44" s="215"/>
      <c r="BE44" s="215"/>
      <c r="BF44" s="215"/>
      <c r="BG44" s="215"/>
      <c r="BH44" s="215"/>
      <c r="BI44" s="215"/>
      <c r="BJ44" s="215"/>
      <c r="BK44" s="114"/>
      <c r="BL44" s="105"/>
      <c r="BM44" s="105"/>
      <c r="BN44" s="105"/>
      <c r="BO44" s="105"/>
      <c r="BP44" s="105"/>
      <c r="BQ44" s="105"/>
      <c r="BR44" s="105"/>
      <c r="BS44" s="105"/>
      <c r="BT44" s="105"/>
      <c r="BU44" s="109"/>
      <c r="BV44" s="109"/>
      <c r="BW44" s="109"/>
      <c r="BX44" s="109"/>
      <c r="BY44" s="109"/>
      <c r="BZ44" s="105"/>
      <c r="CA44" s="105"/>
      <c r="CB44" s="105"/>
      <c r="CC44" s="105"/>
      <c r="CD44" s="105"/>
      <c r="CE44" s="109"/>
      <c r="CF44" s="109"/>
      <c r="CG44" s="185"/>
      <c r="CH44" s="185"/>
      <c r="CI44" s="185"/>
      <c r="CJ44" s="185"/>
      <c r="CK44" s="185"/>
      <c r="CL44" s="185"/>
      <c r="CM44" s="185"/>
      <c r="CN44" s="185"/>
      <c r="CO44" s="185"/>
      <c r="CP44" s="185"/>
      <c r="CQ44" s="185"/>
      <c r="CR44" s="185"/>
      <c r="CS44" s="185"/>
      <c r="CT44" s="185"/>
      <c r="CU44" s="185"/>
      <c r="CV44" s="185"/>
      <c r="CW44" s="186"/>
      <c r="CX44" s="186"/>
      <c r="CY44" s="186"/>
      <c r="CZ44" s="186"/>
      <c r="DA44" s="186"/>
      <c r="DB44" s="186"/>
      <c r="DC44" s="186"/>
      <c r="DD44" s="187"/>
    </row>
    <row r="45" spans="2:108" ht="14.1" customHeight="1" thickTop="1" thickBot="1">
      <c r="B45" s="103">
        <v>3.9</v>
      </c>
      <c r="C45" s="104"/>
      <c r="D45" s="105"/>
      <c r="E45" s="105"/>
      <c r="F45" s="105">
        <v>6.15</v>
      </c>
      <c r="G45" s="105">
        <v>1.98</v>
      </c>
      <c r="H45" s="106">
        <v>0.91</v>
      </c>
      <c r="I45" s="107"/>
      <c r="J45" s="106"/>
      <c r="K45" s="104"/>
      <c r="L45" s="106"/>
      <c r="M45" s="108"/>
      <c r="N45" s="109"/>
      <c r="O45" s="109"/>
      <c r="P45" s="109">
        <v>3.22</v>
      </c>
      <c r="Q45" s="110">
        <v>0.63</v>
      </c>
      <c r="R45" s="270">
        <v>0.21909852899999999</v>
      </c>
      <c r="S45" s="270">
        <v>7.6383098999999996E-2</v>
      </c>
      <c r="T45" s="270">
        <v>0.01</v>
      </c>
      <c r="U45" s="270">
        <v>0</v>
      </c>
      <c r="V45" s="104"/>
      <c r="W45" s="105"/>
      <c r="X45" s="346">
        <v>10.924375766399999</v>
      </c>
      <c r="Y45" s="106">
        <v>2.1800000000000002</v>
      </c>
      <c r="Z45" s="104"/>
      <c r="AA45" s="109"/>
      <c r="AB45" s="110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G45" s="215"/>
      <c r="BH45" s="215"/>
      <c r="BI45" s="215"/>
      <c r="BJ45" s="215"/>
      <c r="BK45" s="114"/>
      <c r="BL45" s="105"/>
      <c r="BM45" s="105"/>
      <c r="BN45" s="105"/>
      <c r="BO45" s="105"/>
      <c r="BP45" s="105"/>
      <c r="BQ45" s="105"/>
      <c r="BR45" s="105"/>
      <c r="BS45" s="105"/>
      <c r="BT45" s="105"/>
      <c r="BU45" s="109"/>
      <c r="BV45" s="109"/>
      <c r="BW45" s="109"/>
      <c r="BX45" s="109"/>
      <c r="BY45" s="109"/>
      <c r="BZ45" s="105"/>
      <c r="CA45" s="105"/>
      <c r="CB45" s="105"/>
      <c r="CC45" s="105"/>
      <c r="CD45" s="105"/>
      <c r="CE45" s="109"/>
      <c r="CF45" s="109"/>
      <c r="CG45" s="185"/>
      <c r="CH45" s="185"/>
      <c r="CI45" s="185"/>
      <c r="CJ45" s="185"/>
      <c r="CK45" s="185"/>
      <c r="CL45" s="185"/>
      <c r="CM45" s="185"/>
      <c r="CN45" s="185"/>
      <c r="CO45" s="185"/>
      <c r="CP45" s="185"/>
      <c r="CQ45" s="185"/>
      <c r="CR45" s="185"/>
      <c r="CS45" s="185"/>
      <c r="CT45" s="185"/>
      <c r="CU45" s="185"/>
      <c r="CV45" s="185"/>
      <c r="CW45" s="186"/>
      <c r="CX45" s="186"/>
      <c r="CY45" s="186"/>
      <c r="CZ45" s="186"/>
      <c r="DA45" s="186"/>
      <c r="DB45" s="186"/>
      <c r="DC45" s="186"/>
      <c r="DD45" s="187"/>
    </row>
    <row r="46" spans="2:108" ht="14.1" customHeight="1" thickTop="1" thickBot="1">
      <c r="B46" s="103">
        <v>4</v>
      </c>
      <c r="C46" s="104"/>
      <c r="D46" s="105"/>
      <c r="E46" s="105"/>
      <c r="F46" s="105">
        <v>6.47</v>
      </c>
      <c r="G46" s="105">
        <v>2.08</v>
      </c>
      <c r="H46" s="106">
        <v>0.96</v>
      </c>
      <c r="I46" s="107"/>
      <c r="J46" s="106"/>
      <c r="K46" s="104"/>
      <c r="L46" s="106"/>
      <c r="M46" s="108"/>
      <c r="N46" s="109"/>
      <c r="O46" s="109"/>
      <c r="P46" s="109">
        <v>3.38</v>
      </c>
      <c r="Q46" s="110">
        <v>0.66</v>
      </c>
      <c r="R46" s="270">
        <v>0.2304784</v>
      </c>
      <c r="S46" s="270">
        <v>8.0350400000000002E-2</v>
      </c>
      <c r="T46" s="270">
        <v>0.01</v>
      </c>
      <c r="U46" s="270">
        <v>0</v>
      </c>
      <c r="V46" s="104"/>
      <c r="W46" s="105"/>
      <c r="X46" s="346">
        <v>11.503825199999998</v>
      </c>
      <c r="Y46" s="106">
        <v>2.27</v>
      </c>
      <c r="Z46" s="104"/>
      <c r="AA46" s="109"/>
      <c r="AB46" s="110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5"/>
      <c r="AT46" s="215"/>
      <c r="AU46" s="215"/>
      <c r="AV46" s="215"/>
      <c r="AW46" s="215"/>
      <c r="AX46" s="215"/>
      <c r="AY46" s="215"/>
      <c r="AZ46" s="215"/>
      <c r="BA46" s="215"/>
      <c r="BB46" s="215"/>
      <c r="BC46" s="215"/>
      <c r="BD46" s="215"/>
      <c r="BE46" s="215"/>
      <c r="BF46" s="215"/>
      <c r="BG46" s="215"/>
      <c r="BH46" s="215"/>
      <c r="BI46" s="215"/>
      <c r="BJ46" s="215"/>
      <c r="BK46" s="114"/>
      <c r="BL46" s="105"/>
      <c r="BM46" s="105"/>
      <c r="BN46" s="105"/>
      <c r="BO46" s="105"/>
      <c r="BP46" s="105"/>
      <c r="BQ46" s="105"/>
      <c r="BR46" s="105"/>
      <c r="BS46" s="105"/>
      <c r="BT46" s="105"/>
      <c r="BU46" s="109"/>
      <c r="BV46" s="109"/>
      <c r="BW46" s="109"/>
      <c r="BX46" s="109"/>
      <c r="BY46" s="109"/>
      <c r="BZ46" s="105"/>
      <c r="CA46" s="105"/>
      <c r="CB46" s="105"/>
      <c r="CC46" s="105"/>
      <c r="CD46" s="105"/>
      <c r="CE46" s="109"/>
      <c r="CF46" s="109"/>
      <c r="CG46" s="185"/>
      <c r="CH46" s="185"/>
      <c r="CI46" s="185"/>
      <c r="CJ46" s="185"/>
      <c r="CK46" s="185"/>
      <c r="CL46" s="185"/>
      <c r="CM46" s="185"/>
      <c r="CN46" s="185"/>
      <c r="CO46" s="185"/>
      <c r="CP46" s="185"/>
      <c r="CQ46" s="185"/>
      <c r="CR46" s="185"/>
      <c r="CS46" s="185"/>
      <c r="CT46" s="185"/>
      <c r="CU46" s="185"/>
      <c r="CV46" s="185"/>
      <c r="CW46" s="186"/>
      <c r="CX46" s="186"/>
      <c r="CY46" s="186"/>
      <c r="CZ46" s="186"/>
      <c r="DA46" s="186"/>
      <c r="DB46" s="186"/>
      <c r="DC46" s="186"/>
      <c r="DD46" s="187"/>
    </row>
    <row r="47" spans="2:108" ht="14.1" customHeight="1" thickTop="1" thickBot="1">
      <c r="B47" s="103">
        <v>4.0999999999999996</v>
      </c>
      <c r="C47" s="104"/>
      <c r="D47" s="105"/>
      <c r="E47" s="105"/>
      <c r="F47" s="105"/>
      <c r="G47" s="105">
        <v>2.19</v>
      </c>
      <c r="H47" s="106">
        <v>1.01</v>
      </c>
      <c r="I47" s="107"/>
      <c r="J47" s="106"/>
      <c r="K47" s="104"/>
      <c r="L47" s="106"/>
      <c r="M47" s="108"/>
      <c r="N47" s="109"/>
      <c r="O47" s="109"/>
      <c r="P47" s="109">
        <v>3.55</v>
      </c>
      <c r="Q47" s="110">
        <v>0.69</v>
      </c>
      <c r="R47" s="270">
        <v>0.24214636899999997</v>
      </c>
      <c r="S47" s="270">
        <v>8.4418138999999989E-2</v>
      </c>
      <c r="T47" s="270">
        <v>0.01</v>
      </c>
      <c r="U47" s="270">
        <v>0</v>
      </c>
      <c r="V47" s="104"/>
      <c r="W47" s="105"/>
      <c r="X47" s="346">
        <v>12.099989577599995</v>
      </c>
      <c r="Y47" s="106">
        <v>2.37</v>
      </c>
      <c r="Z47" s="104"/>
      <c r="AA47" s="109"/>
      <c r="AB47" s="110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5"/>
      <c r="BG47" s="215"/>
      <c r="BH47" s="215"/>
      <c r="BI47" s="215"/>
      <c r="BJ47" s="215"/>
      <c r="BK47" s="114"/>
      <c r="BL47" s="105"/>
      <c r="BM47" s="105"/>
      <c r="BN47" s="105"/>
      <c r="BO47" s="105"/>
      <c r="BP47" s="105"/>
      <c r="BQ47" s="105"/>
      <c r="BR47" s="105"/>
      <c r="BS47" s="105"/>
      <c r="BT47" s="105"/>
      <c r="BU47" s="109"/>
      <c r="BV47" s="109"/>
      <c r="BW47" s="109"/>
      <c r="BX47" s="109"/>
      <c r="BY47" s="109"/>
      <c r="BZ47" s="105"/>
      <c r="CA47" s="105"/>
      <c r="CB47" s="105"/>
      <c r="CC47" s="105"/>
      <c r="CD47" s="105"/>
      <c r="CE47" s="109"/>
      <c r="CF47" s="109"/>
      <c r="CG47" s="185"/>
      <c r="CH47" s="185"/>
      <c r="CI47" s="185"/>
      <c r="CJ47" s="185"/>
      <c r="CK47" s="185"/>
      <c r="CL47" s="185"/>
      <c r="CM47" s="185"/>
      <c r="CN47" s="185"/>
      <c r="CO47" s="185"/>
      <c r="CP47" s="185"/>
      <c r="CQ47" s="185"/>
      <c r="CR47" s="185"/>
      <c r="CS47" s="185"/>
      <c r="CT47" s="185"/>
      <c r="CU47" s="185"/>
      <c r="CV47" s="185"/>
      <c r="CW47" s="186"/>
      <c r="CX47" s="186"/>
      <c r="CY47" s="186"/>
      <c r="CZ47" s="186"/>
      <c r="DA47" s="186"/>
      <c r="DB47" s="186"/>
      <c r="DC47" s="186"/>
      <c r="DD47" s="187"/>
    </row>
    <row r="48" spans="2:108" ht="14.1" customHeight="1" thickTop="1" thickBot="1">
      <c r="B48" s="103">
        <v>4.2</v>
      </c>
      <c r="C48" s="104"/>
      <c r="D48" s="105"/>
      <c r="E48" s="105"/>
      <c r="F48" s="105"/>
      <c r="G48" s="105">
        <v>2.29</v>
      </c>
      <c r="H48" s="106">
        <v>1.06</v>
      </c>
      <c r="I48" s="107"/>
      <c r="J48" s="106"/>
      <c r="K48" s="104"/>
      <c r="L48" s="106"/>
      <c r="M48" s="108"/>
      <c r="N48" s="109"/>
      <c r="O48" s="109"/>
      <c r="P48" s="109">
        <v>3.73</v>
      </c>
      <c r="Q48" s="110">
        <v>0.73</v>
      </c>
      <c r="R48" s="270">
        <v>0.25410243599999999</v>
      </c>
      <c r="S48" s="270">
        <v>8.8586316000000012E-2</v>
      </c>
      <c r="T48" s="270">
        <v>0.01</v>
      </c>
      <c r="U48" s="270">
        <v>0</v>
      </c>
      <c r="V48" s="104"/>
      <c r="W48" s="105"/>
      <c r="X48" s="346">
        <v>12.712974652799996</v>
      </c>
      <c r="Y48" s="106">
        <v>2.46</v>
      </c>
      <c r="Z48" s="104"/>
      <c r="AA48" s="109"/>
      <c r="AB48" s="110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5"/>
      <c r="AT48" s="215"/>
      <c r="AU48" s="215"/>
      <c r="AV48" s="215"/>
      <c r="AW48" s="215"/>
      <c r="AX48" s="215"/>
      <c r="AY48" s="215"/>
      <c r="AZ48" s="215"/>
      <c r="BA48" s="215"/>
      <c r="BB48" s="215"/>
      <c r="BC48" s="215"/>
      <c r="BD48" s="215"/>
      <c r="BE48" s="215"/>
      <c r="BF48" s="215"/>
      <c r="BG48" s="215"/>
      <c r="BH48" s="215"/>
      <c r="BI48" s="215"/>
      <c r="BJ48" s="215"/>
      <c r="BK48" s="114"/>
      <c r="BL48" s="105"/>
      <c r="BM48" s="105"/>
      <c r="BN48" s="105"/>
      <c r="BO48" s="105"/>
      <c r="BP48" s="105"/>
      <c r="BQ48" s="105"/>
      <c r="BR48" s="105"/>
      <c r="BS48" s="105"/>
      <c r="BT48" s="105"/>
      <c r="BU48" s="109"/>
      <c r="BV48" s="109"/>
      <c r="BW48" s="109"/>
      <c r="BX48" s="109"/>
      <c r="BY48" s="109"/>
      <c r="BZ48" s="105"/>
      <c r="CA48" s="105"/>
      <c r="CB48" s="105"/>
      <c r="CC48" s="105"/>
      <c r="CD48" s="105"/>
      <c r="CE48" s="109"/>
      <c r="CF48" s="109"/>
      <c r="CG48" s="185"/>
      <c r="CH48" s="185"/>
      <c r="CI48" s="185"/>
      <c r="CJ48" s="185"/>
      <c r="CK48" s="185"/>
      <c r="CL48" s="185"/>
      <c r="CM48" s="185"/>
      <c r="CN48" s="185"/>
      <c r="CO48" s="185"/>
      <c r="CP48" s="185"/>
      <c r="CQ48" s="185"/>
      <c r="CR48" s="185"/>
      <c r="CS48" s="185"/>
      <c r="CT48" s="185"/>
      <c r="CU48" s="185"/>
      <c r="CV48" s="185"/>
      <c r="CW48" s="186"/>
      <c r="CX48" s="186"/>
      <c r="CY48" s="186"/>
      <c r="CZ48" s="186"/>
      <c r="DA48" s="186"/>
      <c r="DB48" s="186"/>
      <c r="DC48" s="186"/>
      <c r="DD48" s="187"/>
    </row>
    <row r="49" spans="2:108" ht="14.1" customHeight="1" thickTop="1" thickBot="1">
      <c r="B49" s="103">
        <v>4.3</v>
      </c>
      <c r="C49" s="104"/>
      <c r="D49" s="105"/>
      <c r="E49" s="105"/>
      <c r="F49" s="105"/>
      <c r="G49" s="105">
        <v>2.4</v>
      </c>
      <c r="H49" s="106">
        <v>1.1100000000000001</v>
      </c>
      <c r="I49" s="107"/>
      <c r="J49" s="106"/>
      <c r="K49" s="104"/>
      <c r="L49" s="106"/>
      <c r="M49" s="108"/>
      <c r="N49" s="109"/>
      <c r="O49" s="109"/>
      <c r="P49" s="109">
        <v>3.91</v>
      </c>
      <c r="Q49" s="110">
        <v>0.76</v>
      </c>
      <c r="R49" s="270">
        <v>0.26634660099999996</v>
      </c>
      <c r="S49" s="270">
        <v>9.2854931000000002E-2</v>
      </c>
      <c r="T49" s="270">
        <v>0.01</v>
      </c>
      <c r="U49" s="270">
        <v>0</v>
      </c>
      <c r="V49" s="104"/>
      <c r="W49" s="105"/>
      <c r="X49" s="346">
        <v>13.342886179199999</v>
      </c>
      <c r="Y49" s="106">
        <v>2.57</v>
      </c>
      <c r="Z49" s="104"/>
      <c r="AA49" s="109"/>
      <c r="AB49" s="110"/>
      <c r="AC49" s="214"/>
      <c r="AD49" s="214"/>
      <c r="AE49" s="214"/>
      <c r="AF49" s="214"/>
      <c r="AG49" s="214"/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  <c r="BD49" s="215"/>
      <c r="BE49" s="215"/>
      <c r="BF49" s="215"/>
      <c r="BG49" s="215"/>
      <c r="BH49" s="215"/>
      <c r="BI49" s="215"/>
      <c r="BJ49" s="215"/>
      <c r="BK49" s="114"/>
      <c r="BL49" s="105"/>
      <c r="BM49" s="105"/>
      <c r="BN49" s="105"/>
      <c r="BO49" s="105"/>
      <c r="BP49" s="105"/>
      <c r="BQ49" s="105"/>
      <c r="BR49" s="105"/>
      <c r="BS49" s="105"/>
      <c r="BT49" s="105"/>
      <c r="BU49" s="109"/>
      <c r="BV49" s="109"/>
      <c r="BW49" s="109"/>
      <c r="BX49" s="109"/>
      <c r="BY49" s="109"/>
      <c r="BZ49" s="105"/>
      <c r="CA49" s="105"/>
      <c r="CB49" s="105"/>
      <c r="CC49" s="105"/>
      <c r="CD49" s="105"/>
      <c r="CE49" s="109"/>
      <c r="CF49" s="109"/>
      <c r="CG49" s="185"/>
      <c r="CH49" s="185"/>
      <c r="CI49" s="185"/>
      <c r="CJ49" s="185"/>
      <c r="CK49" s="185"/>
      <c r="CL49" s="185"/>
      <c r="CM49" s="185"/>
      <c r="CN49" s="185"/>
      <c r="CO49" s="185"/>
      <c r="CP49" s="185"/>
      <c r="CQ49" s="185"/>
      <c r="CR49" s="185"/>
      <c r="CS49" s="185"/>
      <c r="CT49" s="185"/>
      <c r="CU49" s="185"/>
      <c r="CV49" s="185"/>
      <c r="CW49" s="186"/>
      <c r="CX49" s="186"/>
      <c r="CY49" s="186"/>
      <c r="CZ49" s="186"/>
      <c r="DA49" s="186"/>
      <c r="DB49" s="186"/>
      <c r="DC49" s="186"/>
      <c r="DD49" s="187"/>
    </row>
    <row r="50" spans="2:108" ht="14.1" customHeight="1" thickTop="1" thickBot="1">
      <c r="B50" s="103">
        <v>4.4000000000000004</v>
      </c>
      <c r="C50" s="104"/>
      <c r="D50" s="105"/>
      <c r="E50" s="105"/>
      <c r="F50" s="105"/>
      <c r="G50" s="105">
        <v>2.52</v>
      </c>
      <c r="H50" s="106">
        <v>1.1599999999999999</v>
      </c>
      <c r="I50" s="107"/>
      <c r="J50" s="106"/>
      <c r="K50" s="104"/>
      <c r="L50" s="106"/>
      <c r="M50" s="108"/>
      <c r="N50" s="109"/>
      <c r="O50" s="109"/>
      <c r="P50" s="109">
        <v>4.09</v>
      </c>
      <c r="Q50" s="110">
        <v>0.8</v>
      </c>
      <c r="R50" s="270">
        <v>0.27887886400000006</v>
      </c>
      <c r="S50" s="270">
        <v>9.7223984000000013E-2</v>
      </c>
      <c r="T50" s="270">
        <v>0.01</v>
      </c>
      <c r="U50" s="270">
        <v>0</v>
      </c>
      <c r="V50" s="104"/>
      <c r="W50" s="105"/>
      <c r="X50" s="346">
        <v>13.989829910399999</v>
      </c>
      <c r="Y50" s="106">
        <v>2.67</v>
      </c>
      <c r="Z50" s="104"/>
      <c r="AA50" s="109"/>
      <c r="AB50" s="110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215"/>
      <c r="BB50" s="215"/>
      <c r="BC50" s="215"/>
      <c r="BD50" s="215"/>
      <c r="BE50" s="215"/>
      <c r="BF50" s="215"/>
      <c r="BG50" s="215"/>
      <c r="BH50" s="215"/>
      <c r="BI50" s="215"/>
      <c r="BJ50" s="215"/>
      <c r="BK50" s="114"/>
      <c r="BL50" s="105"/>
      <c r="BM50" s="105"/>
      <c r="BN50" s="105"/>
      <c r="BO50" s="105"/>
      <c r="BP50" s="105"/>
      <c r="BQ50" s="105"/>
      <c r="BR50" s="105"/>
      <c r="BS50" s="105"/>
      <c r="BT50" s="105"/>
      <c r="BU50" s="109"/>
      <c r="BV50" s="109"/>
      <c r="BW50" s="109"/>
      <c r="BX50" s="109"/>
      <c r="BY50" s="109"/>
      <c r="BZ50" s="105"/>
      <c r="CA50" s="105"/>
      <c r="CB50" s="105"/>
      <c r="CC50" s="105"/>
      <c r="CD50" s="105"/>
      <c r="CE50" s="109"/>
      <c r="CF50" s="109"/>
      <c r="CG50" s="186"/>
      <c r="CH50" s="186"/>
      <c r="CI50" s="186"/>
      <c r="CJ50" s="186"/>
      <c r="CK50" s="186"/>
      <c r="CL50" s="186"/>
      <c r="CM50" s="186"/>
      <c r="CN50" s="186"/>
      <c r="CO50" s="186"/>
      <c r="CP50" s="186"/>
      <c r="CQ50" s="186"/>
      <c r="CR50" s="186"/>
      <c r="CS50" s="186"/>
      <c r="CT50" s="186"/>
      <c r="CU50" s="186"/>
      <c r="CV50" s="186"/>
      <c r="CW50" s="186"/>
      <c r="CX50" s="186"/>
      <c r="CY50" s="186"/>
      <c r="CZ50" s="186"/>
      <c r="DA50" s="186"/>
      <c r="DB50" s="186"/>
      <c r="DC50" s="186"/>
      <c r="DD50" s="187"/>
    </row>
    <row r="51" spans="2:108" ht="14.1" customHeight="1" thickTop="1" thickBot="1">
      <c r="B51" s="103">
        <v>4.5</v>
      </c>
      <c r="C51" s="104"/>
      <c r="D51" s="105"/>
      <c r="E51" s="105"/>
      <c r="F51" s="105"/>
      <c r="G51" s="105">
        <v>2.63</v>
      </c>
      <c r="H51" s="106">
        <v>1.22</v>
      </c>
      <c r="I51" s="107"/>
      <c r="J51" s="106"/>
      <c r="K51" s="104"/>
      <c r="L51" s="106"/>
      <c r="M51" s="108"/>
      <c r="N51" s="109"/>
      <c r="O51" s="109"/>
      <c r="P51" s="143">
        <v>4.28</v>
      </c>
      <c r="Q51" s="110">
        <v>0.83</v>
      </c>
      <c r="R51" s="270">
        <v>0.29169922500000001</v>
      </c>
      <c r="S51" s="270">
        <v>0.10169347500000001</v>
      </c>
      <c r="T51" s="270">
        <v>0.01</v>
      </c>
      <c r="U51" s="270">
        <v>0</v>
      </c>
      <c r="V51" s="104"/>
      <c r="W51" s="105"/>
      <c r="X51" s="346">
        <v>14.653911600000001</v>
      </c>
      <c r="Y51" s="106">
        <v>2.78</v>
      </c>
      <c r="Z51" s="104"/>
      <c r="AA51" s="109"/>
      <c r="AB51" s="110"/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  <c r="BI51" s="215"/>
      <c r="BJ51" s="215"/>
      <c r="BK51" s="114"/>
      <c r="BL51" s="105"/>
      <c r="BM51" s="105"/>
      <c r="BN51" s="105"/>
      <c r="BO51" s="105"/>
      <c r="BP51" s="105"/>
      <c r="BQ51" s="105"/>
      <c r="BR51" s="105"/>
      <c r="BS51" s="105"/>
      <c r="BT51" s="105"/>
      <c r="BU51" s="109"/>
      <c r="BV51" s="109"/>
      <c r="BW51" s="109"/>
      <c r="BX51" s="143"/>
      <c r="BY51" s="109"/>
      <c r="BZ51" s="105"/>
      <c r="CA51" s="105"/>
      <c r="CB51" s="105"/>
      <c r="CC51" s="105"/>
      <c r="CD51" s="105"/>
      <c r="CE51" s="109"/>
      <c r="CF51" s="109"/>
      <c r="CG51" s="186"/>
      <c r="CH51" s="186"/>
      <c r="CI51" s="186"/>
      <c r="CJ51" s="186"/>
      <c r="CK51" s="186"/>
      <c r="CL51" s="186"/>
      <c r="CM51" s="186"/>
      <c r="CN51" s="186"/>
      <c r="CO51" s="186"/>
      <c r="CP51" s="186"/>
      <c r="CQ51" s="186"/>
      <c r="CR51" s="186"/>
      <c r="CS51" s="186"/>
      <c r="CT51" s="186"/>
      <c r="CU51" s="186"/>
      <c r="CV51" s="186"/>
      <c r="CW51" s="186"/>
      <c r="CX51" s="186"/>
      <c r="CY51" s="186"/>
      <c r="CZ51" s="186"/>
      <c r="DA51" s="186"/>
      <c r="DB51" s="186"/>
      <c r="DC51" s="186"/>
      <c r="DD51" s="187"/>
    </row>
    <row r="52" spans="2:108" ht="14.1" customHeight="1" thickTop="1" thickBot="1">
      <c r="B52" s="103">
        <v>4.5999999999999996</v>
      </c>
      <c r="C52" s="104"/>
      <c r="D52" s="105"/>
      <c r="E52" s="105"/>
      <c r="F52" s="105"/>
      <c r="G52" s="105">
        <v>2.75</v>
      </c>
      <c r="H52" s="106">
        <v>1.27</v>
      </c>
      <c r="I52" s="107"/>
      <c r="J52" s="106"/>
      <c r="K52" s="104"/>
      <c r="L52" s="106"/>
      <c r="M52" s="108"/>
      <c r="N52" s="109"/>
      <c r="O52" s="109"/>
      <c r="P52" s="143">
        <v>4.47</v>
      </c>
      <c r="Q52" s="110">
        <v>0.87</v>
      </c>
      <c r="R52" s="270">
        <v>0.30480768399999997</v>
      </c>
      <c r="S52" s="270">
        <v>0.10626340399999999</v>
      </c>
      <c r="T52" s="270">
        <v>0.01</v>
      </c>
      <c r="U52" s="270">
        <v>0</v>
      </c>
      <c r="V52" s="104"/>
      <c r="W52" s="105"/>
      <c r="X52" s="346">
        <v>15.335237001599999</v>
      </c>
      <c r="Y52" s="106">
        <v>2.89</v>
      </c>
      <c r="Z52" s="104"/>
      <c r="AA52" s="109"/>
      <c r="AB52" s="110"/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  <c r="AZ52" s="215"/>
      <c r="BA52" s="215"/>
      <c r="BB52" s="215"/>
      <c r="BC52" s="215"/>
      <c r="BD52" s="215"/>
      <c r="BE52" s="215"/>
      <c r="BF52" s="215"/>
      <c r="BG52" s="215"/>
      <c r="BH52" s="215"/>
      <c r="BI52" s="215"/>
      <c r="BJ52" s="215"/>
      <c r="BK52" s="114"/>
      <c r="BL52" s="105"/>
      <c r="BM52" s="105"/>
      <c r="BN52" s="105"/>
      <c r="BO52" s="105"/>
      <c r="BP52" s="105"/>
      <c r="BQ52" s="105"/>
      <c r="BR52" s="105"/>
      <c r="BS52" s="105"/>
      <c r="BT52" s="105"/>
      <c r="BU52" s="109"/>
      <c r="BV52" s="109"/>
      <c r="BW52" s="109"/>
      <c r="BX52" s="143"/>
      <c r="BY52" s="109"/>
      <c r="BZ52" s="105"/>
      <c r="CA52" s="105"/>
      <c r="CB52" s="105"/>
      <c r="CC52" s="105"/>
      <c r="CD52" s="105"/>
      <c r="CE52" s="109"/>
      <c r="CF52" s="109"/>
      <c r="CG52" s="186"/>
      <c r="CH52" s="186"/>
      <c r="CI52" s="186"/>
      <c r="CJ52" s="186"/>
      <c r="CK52" s="186"/>
      <c r="CL52" s="186"/>
      <c r="CM52" s="186"/>
      <c r="CN52" s="186"/>
      <c r="CO52" s="186"/>
      <c r="CP52" s="186"/>
      <c r="CQ52" s="186"/>
      <c r="CR52" s="186"/>
      <c r="CS52" s="186"/>
      <c r="CT52" s="186"/>
      <c r="CU52" s="186"/>
      <c r="CV52" s="186"/>
      <c r="CW52" s="186"/>
      <c r="CX52" s="186"/>
      <c r="CY52" s="186"/>
      <c r="CZ52" s="186"/>
      <c r="DA52" s="186"/>
      <c r="DB52" s="186"/>
      <c r="DC52" s="186"/>
      <c r="DD52" s="187"/>
    </row>
    <row r="53" spans="2:108" ht="14.1" customHeight="1" thickTop="1" thickBot="1">
      <c r="B53" s="103">
        <v>4.7</v>
      </c>
      <c r="C53" s="104"/>
      <c r="D53" s="105"/>
      <c r="E53" s="105"/>
      <c r="F53" s="105"/>
      <c r="G53" s="105">
        <v>2.87</v>
      </c>
      <c r="H53" s="106">
        <v>1.33</v>
      </c>
      <c r="I53" s="107"/>
      <c r="J53" s="106"/>
      <c r="K53" s="104"/>
      <c r="L53" s="106"/>
      <c r="M53" s="108"/>
      <c r="N53" s="109"/>
      <c r="O53" s="109"/>
      <c r="P53" s="143">
        <v>4.67</v>
      </c>
      <c r="Q53" s="110">
        <v>0.91</v>
      </c>
      <c r="R53" s="270">
        <v>0.31820424100000005</v>
      </c>
      <c r="S53" s="270">
        <v>0.11093377100000001</v>
      </c>
      <c r="T53" s="270">
        <v>0.01</v>
      </c>
      <c r="U53" s="270">
        <v>0</v>
      </c>
      <c r="V53" s="104"/>
      <c r="W53" s="105"/>
      <c r="X53" s="346">
        <v>16.033911868799997</v>
      </c>
      <c r="Y53" s="106">
        <v>3.01</v>
      </c>
      <c r="Z53" s="104"/>
      <c r="AA53" s="109"/>
      <c r="AB53" s="110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  <c r="BI53" s="215"/>
      <c r="BJ53" s="215"/>
      <c r="BK53" s="114"/>
      <c r="BL53" s="105"/>
      <c r="BM53" s="105"/>
      <c r="BN53" s="105"/>
      <c r="BO53" s="105"/>
      <c r="BP53" s="105"/>
      <c r="BQ53" s="105"/>
      <c r="BR53" s="105"/>
      <c r="BS53" s="105"/>
      <c r="BT53" s="105"/>
      <c r="BU53" s="109"/>
      <c r="BV53" s="109"/>
      <c r="BW53" s="109"/>
      <c r="BX53" s="143"/>
      <c r="BY53" s="109"/>
      <c r="BZ53" s="105"/>
      <c r="CA53" s="105"/>
      <c r="CB53" s="105"/>
      <c r="CC53" s="105"/>
      <c r="CD53" s="105"/>
      <c r="CE53" s="109"/>
      <c r="CF53" s="109"/>
      <c r="CG53" s="186"/>
      <c r="CH53" s="186"/>
      <c r="CI53" s="186"/>
      <c r="CJ53" s="186"/>
      <c r="CK53" s="186"/>
      <c r="CL53" s="186"/>
      <c r="CM53" s="186"/>
      <c r="CN53" s="186"/>
      <c r="CO53" s="186"/>
      <c r="CP53" s="186"/>
      <c r="CQ53" s="186"/>
      <c r="CR53" s="186"/>
      <c r="CS53" s="186"/>
      <c r="CT53" s="186"/>
      <c r="CU53" s="186"/>
      <c r="CV53" s="186"/>
      <c r="CW53" s="186"/>
      <c r="CX53" s="186"/>
      <c r="CY53" s="186"/>
      <c r="CZ53" s="186"/>
      <c r="DA53" s="186"/>
      <c r="DB53" s="186"/>
      <c r="DC53" s="186"/>
      <c r="DD53" s="187"/>
    </row>
    <row r="54" spans="2:108" ht="14.1" customHeight="1" thickTop="1" thickBot="1">
      <c r="B54" s="103">
        <v>4.8</v>
      </c>
      <c r="C54" s="104"/>
      <c r="D54" s="105"/>
      <c r="E54" s="105"/>
      <c r="F54" s="105"/>
      <c r="G54" s="105">
        <v>3</v>
      </c>
      <c r="H54" s="106">
        <v>1.38</v>
      </c>
      <c r="I54" s="107"/>
      <c r="J54" s="106"/>
      <c r="K54" s="104"/>
      <c r="L54" s="106"/>
      <c r="M54" s="108"/>
      <c r="N54" s="109"/>
      <c r="O54" s="109"/>
      <c r="P54" s="143">
        <v>4.87</v>
      </c>
      <c r="Q54" s="110">
        <v>0.95</v>
      </c>
      <c r="R54" s="270">
        <v>0.33188889599999999</v>
      </c>
      <c r="S54" s="270">
        <v>0.115704576</v>
      </c>
      <c r="T54" s="270">
        <v>0.01</v>
      </c>
      <c r="U54" s="270">
        <v>0</v>
      </c>
      <c r="V54" s="104"/>
      <c r="W54" s="105"/>
      <c r="X54" s="346">
        <v>16.750041955199997</v>
      </c>
      <c r="Y54" s="106">
        <v>3.13</v>
      </c>
      <c r="Z54" s="104"/>
      <c r="AA54" s="109"/>
      <c r="AB54" s="110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5"/>
      <c r="BF54" s="215"/>
      <c r="BG54" s="215"/>
      <c r="BH54" s="215"/>
      <c r="BI54" s="215"/>
      <c r="BJ54" s="215"/>
      <c r="BK54" s="114"/>
      <c r="BL54" s="105"/>
      <c r="BM54" s="105"/>
      <c r="BN54" s="105"/>
      <c r="BO54" s="105"/>
      <c r="BP54" s="105"/>
      <c r="BQ54" s="105"/>
      <c r="BR54" s="105"/>
      <c r="BS54" s="105"/>
      <c r="BT54" s="105"/>
      <c r="BU54" s="109"/>
      <c r="BV54" s="109"/>
      <c r="BW54" s="109"/>
      <c r="BX54" s="143"/>
      <c r="BY54" s="109"/>
      <c r="BZ54" s="105"/>
      <c r="CA54" s="105"/>
      <c r="CB54" s="105"/>
      <c r="CC54" s="105"/>
      <c r="CD54" s="105"/>
      <c r="CE54" s="109"/>
      <c r="CF54" s="109"/>
      <c r="CG54" s="186"/>
      <c r="CH54" s="186"/>
      <c r="CI54" s="186"/>
      <c r="CJ54" s="186"/>
      <c r="CK54" s="186"/>
      <c r="CL54" s="186"/>
      <c r="CM54" s="186"/>
      <c r="CN54" s="186"/>
      <c r="CO54" s="186"/>
      <c r="CP54" s="186"/>
      <c r="CQ54" s="186"/>
      <c r="CR54" s="186"/>
      <c r="CS54" s="186"/>
      <c r="CT54" s="186"/>
      <c r="CU54" s="186"/>
      <c r="CV54" s="186"/>
      <c r="CW54" s="186"/>
      <c r="CX54" s="186"/>
      <c r="CY54" s="186"/>
      <c r="CZ54" s="186"/>
      <c r="DA54" s="186"/>
      <c r="DB54" s="186"/>
      <c r="DC54" s="186"/>
      <c r="DD54" s="187"/>
    </row>
    <row r="55" spans="2:108" ht="14.1" customHeight="1" thickTop="1" thickBot="1">
      <c r="B55" s="103">
        <v>4.9000000000000004</v>
      </c>
      <c r="C55" s="104"/>
      <c r="D55" s="105"/>
      <c r="E55" s="105"/>
      <c r="F55" s="105"/>
      <c r="G55" s="105">
        <v>3.12</v>
      </c>
      <c r="H55" s="106">
        <v>1.44</v>
      </c>
      <c r="I55" s="107"/>
      <c r="J55" s="106"/>
      <c r="K55" s="104"/>
      <c r="L55" s="106"/>
      <c r="M55" s="108"/>
      <c r="N55" s="109"/>
      <c r="O55" s="109"/>
      <c r="P55" s="143">
        <v>5.08</v>
      </c>
      <c r="Q55" s="110">
        <v>0.99</v>
      </c>
      <c r="R55" s="270">
        <v>0.34586164900000005</v>
      </c>
      <c r="S55" s="270">
        <v>0.12057581900000003</v>
      </c>
      <c r="T55" s="270">
        <v>0.01</v>
      </c>
      <c r="U55" s="270">
        <v>0</v>
      </c>
      <c r="V55" s="104"/>
      <c r="W55" s="105"/>
      <c r="X55" s="346">
        <v>17.483733014399995</v>
      </c>
      <c r="Y55" s="106">
        <v>3.25</v>
      </c>
      <c r="Z55" s="104"/>
      <c r="AA55" s="109"/>
      <c r="AB55" s="110"/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215"/>
      <c r="BB55" s="215"/>
      <c r="BC55" s="215"/>
      <c r="BD55" s="215"/>
      <c r="BE55" s="215"/>
      <c r="BF55" s="215"/>
      <c r="BG55" s="215"/>
      <c r="BH55" s="215"/>
      <c r="BI55" s="215"/>
      <c r="BJ55" s="215"/>
      <c r="BK55" s="114"/>
      <c r="BL55" s="105"/>
      <c r="BM55" s="105"/>
      <c r="BN55" s="105"/>
      <c r="BO55" s="105"/>
      <c r="BP55" s="105"/>
      <c r="BQ55" s="105"/>
      <c r="BR55" s="105"/>
      <c r="BS55" s="105"/>
      <c r="BT55" s="105"/>
      <c r="BU55" s="109"/>
      <c r="BV55" s="109"/>
      <c r="BW55" s="109"/>
      <c r="BX55" s="143"/>
      <c r="BY55" s="109"/>
      <c r="BZ55" s="105"/>
      <c r="CA55" s="105"/>
      <c r="CB55" s="105"/>
      <c r="CC55" s="105"/>
      <c r="CD55" s="105"/>
      <c r="CE55" s="109"/>
      <c r="CF55" s="109"/>
      <c r="CG55" s="186"/>
      <c r="CH55" s="186"/>
      <c r="CI55" s="186"/>
      <c r="CJ55" s="186"/>
      <c r="CK55" s="186"/>
      <c r="CL55" s="186"/>
      <c r="CM55" s="186"/>
      <c r="CN55" s="186"/>
      <c r="CO55" s="186"/>
      <c r="CP55" s="186"/>
      <c r="CQ55" s="186"/>
      <c r="CR55" s="186"/>
      <c r="CS55" s="186"/>
      <c r="CT55" s="186"/>
      <c r="CU55" s="186"/>
      <c r="CV55" s="186"/>
      <c r="CW55" s="186"/>
      <c r="CX55" s="186"/>
      <c r="CY55" s="186"/>
      <c r="CZ55" s="186"/>
      <c r="DA55" s="186"/>
      <c r="DB55" s="186"/>
      <c r="DC55" s="186"/>
      <c r="DD55" s="187"/>
    </row>
    <row r="56" spans="2:108" ht="14.1" customHeight="1" thickTop="1" thickBot="1">
      <c r="B56" s="216">
        <v>5</v>
      </c>
      <c r="C56" s="217"/>
      <c r="D56" s="218"/>
      <c r="E56" s="218"/>
      <c r="F56" s="218"/>
      <c r="G56" s="218">
        <v>3.25</v>
      </c>
      <c r="H56" s="219">
        <v>1.5</v>
      </c>
      <c r="I56" s="220"/>
      <c r="J56" s="219"/>
      <c r="K56" s="217"/>
      <c r="L56" s="219"/>
      <c r="M56" s="221"/>
      <c r="N56" s="222"/>
      <c r="O56" s="222"/>
      <c r="P56" s="223">
        <v>5.29</v>
      </c>
      <c r="Q56" s="224">
        <v>1.03</v>
      </c>
      <c r="R56" s="270">
        <v>0.36012250000000001</v>
      </c>
      <c r="S56" s="270">
        <v>0.12554750000000001</v>
      </c>
      <c r="T56" s="270">
        <v>0.01</v>
      </c>
      <c r="U56" s="270">
        <v>0</v>
      </c>
      <c r="V56" s="217"/>
      <c r="W56" s="218"/>
      <c r="X56" s="346">
        <v>18.235090800000002</v>
      </c>
      <c r="Y56" s="219">
        <v>3.38</v>
      </c>
      <c r="Z56" s="217"/>
      <c r="AA56" s="222"/>
      <c r="AB56" s="224"/>
      <c r="AC56" s="225"/>
      <c r="AD56" s="225"/>
      <c r="AE56" s="225"/>
      <c r="AF56" s="225"/>
      <c r="AG56" s="225"/>
      <c r="AH56" s="225"/>
      <c r="AI56" s="225"/>
      <c r="AJ56" s="225"/>
      <c r="AK56" s="225"/>
      <c r="AL56" s="225"/>
      <c r="AM56" s="225"/>
      <c r="AN56" s="225"/>
      <c r="AO56" s="225"/>
      <c r="AP56" s="225"/>
      <c r="AQ56" s="225"/>
      <c r="AR56" s="225"/>
      <c r="AS56" s="225"/>
      <c r="AT56" s="225"/>
      <c r="AU56" s="225"/>
      <c r="AV56" s="225"/>
      <c r="AW56" s="225"/>
      <c r="AX56" s="225"/>
      <c r="AY56" s="225"/>
      <c r="AZ56" s="225"/>
      <c r="BA56" s="225"/>
      <c r="BB56" s="225"/>
      <c r="BC56" s="225"/>
      <c r="BD56" s="225"/>
      <c r="BE56" s="225"/>
      <c r="BF56" s="225"/>
      <c r="BG56" s="225"/>
      <c r="BH56" s="225"/>
      <c r="BI56" s="225"/>
      <c r="BJ56" s="225"/>
      <c r="BK56" s="226"/>
      <c r="BL56" s="227"/>
      <c r="BM56" s="227"/>
      <c r="BN56" s="227"/>
      <c r="BO56" s="227"/>
      <c r="BP56" s="227"/>
      <c r="BQ56" s="227"/>
      <c r="BR56" s="227"/>
      <c r="BS56" s="227"/>
      <c r="BT56" s="227"/>
      <c r="BU56" s="228"/>
      <c r="BV56" s="228"/>
      <c r="BW56" s="228"/>
      <c r="BX56" s="229"/>
      <c r="BY56" s="228"/>
      <c r="BZ56" s="227"/>
      <c r="CA56" s="227"/>
      <c r="CB56" s="227"/>
      <c r="CC56" s="227"/>
      <c r="CD56" s="227"/>
      <c r="CE56" s="228"/>
      <c r="CF56" s="228"/>
      <c r="CG56" s="230"/>
      <c r="CH56" s="230"/>
      <c r="CI56" s="230"/>
      <c r="CJ56" s="230"/>
      <c r="CK56" s="230"/>
      <c r="CL56" s="230"/>
      <c r="CM56" s="230"/>
      <c r="CN56" s="230"/>
      <c r="CO56" s="230"/>
      <c r="CP56" s="230"/>
      <c r="CQ56" s="230"/>
      <c r="CR56" s="230"/>
      <c r="CS56" s="230"/>
      <c r="CT56" s="230"/>
      <c r="CU56" s="230"/>
      <c r="CV56" s="230"/>
      <c r="CW56" s="230"/>
      <c r="CX56" s="230"/>
      <c r="CY56" s="230"/>
      <c r="CZ56" s="230"/>
      <c r="DA56" s="230"/>
      <c r="DB56" s="230"/>
      <c r="DC56" s="230"/>
      <c r="DD56" s="231"/>
    </row>
    <row r="57" spans="2:108" ht="14.1" customHeight="1" thickTop="1" thickBot="1">
      <c r="B57" s="103">
        <v>5.0999999999999996</v>
      </c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342">
        <v>5.4998144999999994</v>
      </c>
      <c r="Q57" s="343">
        <v>1.0724443199999998</v>
      </c>
      <c r="R57" s="343">
        <v>0.37467144899999999</v>
      </c>
      <c r="S57" s="343">
        <v>0.13061961899999999</v>
      </c>
      <c r="T57" s="270">
        <v>0.01</v>
      </c>
      <c r="U57" s="270">
        <v>0</v>
      </c>
      <c r="V57" s="215"/>
      <c r="W57" s="215"/>
      <c r="X57" s="346">
        <v>19.004221065599999</v>
      </c>
      <c r="Y57" s="344">
        <v>3.5158634591999993</v>
      </c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  <c r="AZ57" s="215"/>
      <c r="BA57" s="215"/>
      <c r="BB57" s="215"/>
      <c r="BC57" s="215"/>
      <c r="BD57" s="215"/>
      <c r="BE57" s="215"/>
      <c r="BF57" s="215"/>
      <c r="BG57" s="215"/>
      <c r="BH57" s="215"/>
      <c r="BI57" s="215"/>
      <c r="BJ57" s="215"/>
    </row>
    <row r="58" spans="2:108" ht="17.399999999999999" thickTop="1" thickBot="1">
      <c r="B58" s="216">
        <v>5.2</v>
      </c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342">
        <v>5.7176080000000002</v>
      </c>
      <c r="Q58" s="343">
        <v>1.1149132800000001</v>
      </c>
      <c r="R58" s="343">
        <v>0.38950849600000004</v>
      </c>
      <c r="S58" s="343">
        <v>0.13579217600000001</v>
      </c>
      <c r="T58" s="270">
        <v>0.01</v>
      </c>
      <c r="U58" s="270">
        <v>0</v>
      </c>
      <c r="V58" s="215"/>
      <c r="W58" s="215"/>
      <c r="X58" s="346">
        <v>19.791229564799998</v>
      </c>
      <c r="Y58" s="344">
        <v>3.6528971135999995</v>
      </c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  <c r="AZ58" s="215"/>
      <c r="BA58" s="215"/>
      <c r="BB58" s="215"/>
      <c r="BC58" s="215"/>
      <c r="BD58" s="215"/>
      <c r="BE58" s="215"/>
      <c r="BF58" s="215"/>
      <c r="BG58" s="215"/>
      <c r="BH58" s="215"/>
      <c r="BI58" s="215"/>
      <c r="BJ58" s="215"/>
    </row>
    <row r="59" spans="2:108" ht="17.399999999999999" thickTop="1" thickBot="1">
      <c r="B59" s="103">
        <v>5.3</v>
      </c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342">
        <v>5.9396304999999998</v>
      </c>
      <c r="Q59" s="343">
        <v>1.1582068799999998</v>
      </c>
      <c r="R59" s="343">
        <v>0.40463364099999999</v>
      </c>
      <c r="S59" s="343">
        <v>0.14106517100000002</v>
      </c>
      <c r="T59" s="270">
        <v>0.01</v>
      </c>
      <c r="U59" s="270">
        <v>0</v>
      </c>
      <c r="V59" s="215"/>
      <c r="W59" s="215"/>
      <c r="X59" s="346">
        <v>20.596222051199998</v>
      </c>
      <c r="Y59" s="344">
        <v>3.7942754783999995</v>
      </c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  <c r="AZ59" s="215"/>
      <c r="BA59" s="215"/>
      <c r="BB59" s="215"/>
      <c r="BC59" s="215"/>
      <c r="BD59" s="215"/>
      <c r="BE59" s="215"/>
      <c r="BF59" s="215"/>
      <c r="BG59" s="215"/>
      <c r="BH59" s="215"/>
      <c r="BI59" s="215"/>
      <c r="BJ59" s="215"/>
    </row>
    <row r="60" spans="2:108" ht="17.399999999999999" thickTop="1" thickBot="1">
      <c r="B60" s="216">
        <v>5.4</v>
      </c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342">
        <v>6.1658820000000008</v>
      </c>
      <c r="Q60" s="343">
        <v>1.20232512</v>
      </c>
      <c r="R60" s="343">
        <v>0.42004688400000006</v>
      </c>
      <c r="S60" s="343">
        <v>0.14643860400000003</v>
      </c>
      <c r="T60" s="270">
        <v>0.01</v>
      </c>
      <c r="U60" s="270">
        <v>0</v>
      </c>
      <c r="V60" s="215"/>
      <c r="W60" s="215"/>
      <c r="X60" s="346">
        <v>21.419304278399999</v>
      </c>
      <c r="Y60" s="344">
        <v>3.9400778687999995</v>
      </c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  <c r="AW60" s="215"/>
      <c r="AX60" s="215"/>
      <c r="AY60" s="215"/>
      <c r="AZ60" s="215"/>
      <c r="BA60" s="215"/>
      <c r="BB60" s="215"/>
      <c r="BC60" s="215"/>
      <c r="BD60" s="215"/>
      <c r="BE60" s="215"/>
      <c r="BF60" s="215"/>
      <c r="BG60" s="215"/>
      <c r="BH60" s="215"/>
      <c r="BI60" s="215"/>
      <c r="BJ60" s="215"/>
    </row>
    <row r="61" spans="2:108" ht="17.399999999999999" thickTop="1" thickBot="1">
      <c r="B61" s="103">
        <v>5.5</v>
      </c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342">
        <v>6.3963625000000004</v>
      </c>
      <c r="Q61" s="343">
        <v>1.247268</v>
      </c>
      <c r="R61" s="343">
        <v>0.43574822499999999</v>
      </c>
      <c r="S61" s="343">
        <v>0.15191247499999999</v>
      </c>
      <c r="T61" s="270">
        <v>0.01</v>
      </c>
      <c r="U61" s="270">
        <v>0</v>
      </c>
      <c r="V61" s="215"/>
      <c r="W61" s="215"/>
      <c r="X61" s="346">
        <v>22.260581999999996</v>
      </c>
      <c r="Y61" s="344">
        <v>4.0903835999999991</v>
      </c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215"/>
      <c r="AL61" s="215"/>
      <c r="AM61" s="215"/>
      <c r="AN61" s="215"/>
      <c r="AO61" s="215"/>
      <c r="AP61" s="215"/>
      <c r="AQ61" s="215"/>
      <c r="AR61" s="215"/>
      <c r="AS61" s="215"/>
      <c r="AT61" s="215"/>
      <c r="AU61" s="215"/>
      <c r="AV61" s="215"/>
      <c r="AW61" s="215"/>
      <c r="AX61" s="215"/>
      <c r="AY61" s="215"/>
      <c r="AZ61" s="215"/>
      <c r="BA61" s="215"/>
      <c r="BB61" s="215"/>
      <c r="BC61" s="215"/>
      <c r="BD61" s="215"/>
      <c r="BE61" s="215"/>
      <c r="BF61" s="215"/>
      <c r="BG61" s="215"/>
      <c r="BH61" s="215"/>
      <c r="BI61" s="215"/>
      <c r="BJ61" s="215"/>
    </row>
    <row r="62" spans="2:108" ht="17.399999999999999" thickTop="1" thickBot="1">
      <c r="B62" s="216">
        <v>5.6</v>
      </c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342">
        <v>6.6310719999999987</v>
      </c>
      <c r="Q62" s="343">
        <v>1.2930355199999997</v>
      </c>
      <c r="R62" s="343">
        <v>0.45173766399999993</v>
      </c>
      <c r="S62" s="343">
        <v>0.15748678399999999</v>
      </c>
      <c r="T62" s="270">
        <v>0.01</v>
      </c>
      <c r="U62" s="270">
        <v>0</v>
      </c>
      <c r="V62" s="215"/>
      <c r="W62" s="215"/>
      <c r="X62" s="346">
        <v>23.120160969599997</v>
      </c>
      <c r="Y62" s="344">
        <v>4.2452719871999989</v>
      </c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  <c r="AZ62" s="215"/>
      <c r="BA62" s="215"/>
      <c r="BB62" s="215"/>
      <c r="BC62" s="215"/>
      <c r="BD62" s="215"/>
      <c r="BE62" s="215"/>
      <c r="BF62" s="215"/>
      <c r="BG62" s="215"/>
      <c r="BH62" s="215"/>
      <c r="BI62" s="215"/>
      <c r="BJ62" s="215"/>
    </row>
    <row r="63" spans="2:108" ht="17.399999999999999" thickTop="1" thickBot="1">
      <c r="B63" s="103">
        <v>5.7</v>
      </c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342">
        <v>6.8700105000000002</v>
      </c>
      <c r="Q63" s="343">
        <v>1.33962768</v>
      </c>
      <c r="R63" s="343">
        <v>0.46801520100000005</v>
      </c>
      <c r="S63" s="343">
        <v>0.16316153100000003</v>
      </c>
      <c r="T63" s="270">
        <v>0.02</v>
      </c>
      <c r="U63" s="270">
        <v>0</v>
      </c>
      <c r="V63" s="215"/>
      <c r="W63" s="215"/>
      <c r="X63" s="346">
        <v>23.998146940799998</v>
      </c>
      <c r="Y63" s="344">
        <v>4.4048223455999986</v>
      </c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15"/>
      <c r="AL63" s="215"/>
      <c r="AM63" s="215"/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  <c r="AZ63" s="215"/>
      <c r="BA63" s="215"/>
      <c r="BB63" s="215"/>
      <c r="BC63" s="215"/>
      <c r="BD63" s="215"/>
      <c r="BE63" s="215"/>
      <c r="BF63" s="215"/>
      <c r="BG63" s="215"/>
      <c r="BH63" s="215"/>
      <c r="BI63" s="215"/>
      <c r="BJ63" s="215"/>
    </row>
    <row r="64" spans="2:108" ht="17.399999999999999" thickTop="1" thickBot="1">
      <c r="B64" s="216">
        <v>5.8</v>
      </c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342">
        <v>7.1131780000000004</v>
      </c>
      <c r="Q64" s="343">
        <v>1.3870444799999999</v>
      </c>
      <c r="R64" s="343">
        <v>0.48458083600000001</v>
      </c>
      <c r="S64" s="343">
        <v>0.16893671600000001</v>
      </c>
      <c r="T64" s="270">
        <v>0.02</v>
      </c>
      <c r="U64" s="270">
        <v>0</v>
      </c>
      <c r="V64" s="215"/>
      <c r="W64" s="215"/>
      <c r="X64" s="346">
        <v>24.894645667199995</v>
      </c>
      <c r="Y64" s="344">
        <v>4.5691139904</v>
      </c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5"/>
      <c r="AK64" s="215"/>
      <c r="AL64" s="215"/>
      <c r="AM64" s="215"/>
      <c r="AN64" s="215"/>
      <c r="AO64" s="215"/>
      <c r="AP64" s="215"/>
      <c r="AQ64" s="215"/>
      <c r="AR64" s="215"/>
      <c r="AS64" s="215"/>
      <c r="AT64" s="215"/>
      <c r="AU64" s="215"/>
      <c r="AV64" s="215"/>
      <c r="AW64" s="215"/>
      <c r="AX64" s="215"/>
      <c r="AY64" s="215"/>
      <c r="AZ64" s="215"/>
      <c r="BA64" s="215"/>
      <c r="BB64" s="215"/>
      <c r="BC64" s="215"/>
      <c r="BD64" s="215"/>
      <c r="BE64" s="215"/>
      <c r="BF64" s="215"/>
      <c r="BG64" s="215"/>
      <c r="BH64" s="215"/>
      <c r="BI64" s="215"/>
      <c r="BJ64" s="215"/>
    </row>
    <row r="65" spans="2:25" ht="17.399999999999999" thickTop="1" thickBot="1">
      <c r="B65" s="103">
        <v>5.9</v>
      </c>
      <c r="P65" s="342">
        <v>7.3605745000000002</v>
      </c>
      <c r="Q65" s="343">
        <v>1.4352859200000001</v>
      </c>
      <c r="R65" s="343">
        <v>0.50143456900000005</v>
      </c>
      <c r="S65" s="343">
        <v>0.17481233900000001</v>
      </c>
      <c r="T65" s="270">
        <v>0.02</v>
      </c>
      <c r="U65" s="270">
        <v>0</v>
      </c>
      <c r="X65" s="346">
        <v>25.809762902399996</v>
      </c>
      <c r="Y65" s="344">
        <v>4.7382262367999992</v>
      </c>
    </row>
    <row r="66" spans="2:25" ht="17.399999999999999" thickTop="1" thickBot="1">
      <c r="B66" s="216">
        <v>6</v>
      </c>
      <c r="P66" s="342">
        <v>7.6121999999999996</v>
      </c>
      <c r="Q66" s="343">
        <v>1.4843519999999999</v>
      </c>
      <c r="R66" s="343">
        <v>0.51857640000000005</v>
      </c>
      <c r="S66" s="343">
        <v>0.18078840000000002</v>
      </c>
      <c r="T66" s="270">
        <v>0.02</v>
      </c>
      <c r="U66" s="270">
        <v>0</v>
      </c>
      <c r="X66" s="346">
        <v>26.743604399999999</v>
      </c>
      <c r="Y66" s="344">
        <v>4.9122383999999997</v>
      </c>
    </row>
    <row r="67" spans="2:25" ht="17.399999999999999" thickTop="1" thickBot="1">
      <c r="B67" s="103">
        <v>6.1</v>
      </c>
      <c r="P67" s="342">
        <v>7.8680544999999986</v>
      </c>
      <c r="Q67" s="343">
        <v>1.5342427199999997</v>
      </c>
      <c r="R67" s="343">
        <v>0.53600632899999989</v>
      </c>
      <c r="S67" s="343">
        <v>0.18686489899999997</v>
      </c>
      <c r="T67" s="270">
        <v>0.02</v>
      </c>
      <c r="U67" s="270">
        <v>0</v>
      </c>
      <c r="X67" s="346">
        <v>27.696275913600001</v>
      </c>
      <c r="Y67" s="344">
        <v>5.0912297951999994</v>
      </c>
    </row>
    <row r="68" spans="2:25" ht="17.399999999999999" thickTop="1" thickBot="1">
      <c r="B68" s="216">
        <v>6.2</v>
      </c>
      <c r="P68" s="342">
        <v>8.1281380000000016</v>
      </c>
      <c r="Q68" s="343">
        <v>1.58495808</v>
      </c>
      <c r="R68" s="343">
        <v>0.55372435600000003</v>
      </c>
      <c r="S68" s="343">
        <v>0.19304183600000002</v>
      </c>
      <c r="T68" s="270">
        <v>0.02</v>
      </c>
      <c r="U68" s="270">
        <v>0</v>
      </c>
      <c r="X68" s="346">
        <v>28.667883196799998</v>
      </c>
      <c r="Y68" s="344">
        <v>5.2752797375999991</v>
      </c>
    </row>
    <row r="69" spans="2:25" ht="17.399999999999999" thickTop="1" thickBot="1">
      <c r="B69" s="103">
        <v>6.3</v>
      </c>
      <c r="P69" s="342">
        <v>8.3924504999999989</v>
      </c>
      <c r="Q69" s="343">
        <v>1.6364980799999997</v>
      </c>
      <c r="R69" s="343">
        <v>0.57173048100000001</v>
      </c>
      <c r="S69" s="343">
        <v>0.199319211</v>
      </c>
      <c r="T69" s="270">
        <v>0.02</v>
      </c>
      <c r="U69" s="270">
        <v>0</v>
      </c>
      <c r="X69" s="346">
        <v>29.658532003199994</v>
      </c>
      <c r="Y69" s="344">
        <v>5.4644675423999995</v>
      </c>
    </row>
    <row r="70" spans="2:25" ht="17.399999999999999" thickTop="1" thickBot="1">
      <c r="B70" s="216">
        <v>6.3999999999999897</v>
      </c>
      <c r="P70" s="342">
        <v>8.6609919999999718</v>
      </c>
      <c r="Q70" s="343">
        <v>1.6888627199999944</v>
      </c>
      <c r="R70" s="343">
        <v>0.59002470399999807</v>
      </c>
      <c r="S70" s="343">
        <v>0.20569702399999934</v>
      </c>
      <c r="T70" s="270">
        <v>0.02</v>
      </c>
      <c r="U70" s="270">
        <v>0</v>
      </c>
      <c r="X70" s="346">
        <v>30.668328086399896</v>
      </c>
      <c r="Y70" s="344">
        <v>5.6588725247999783</v>
      </c>
    </row>
    <row r="71" spans="2:25" ht="17.399999999999999" thickTop="1" thickBot="1">
      <c r="B71" s="103">
        <v>6.4999999999999902</v>
      </c>
      <c r="P71" s="342">
        <v>8.9337624999999736</v>
      </c>
      <c r="Q71" s="343">
        <v>1.7420519999999946</v>
      </c>
      <c r="R71" s="343">
        <v>0.60860702499999819</v>
      </c>
      <c r="S71" s="343">
        <v>0.21217527499999936</v>
      </c>
      <c r="T71" s="270">
        <v>0.02</v>
      </c>
      <c r="U71" s="270">
        <v>0</v>
      </c>
      <c r="X71" s="346">
        <v>31.697377199999899</v>
      </c>
      <c r="Y71" s="344">
        <v>5.8585739999999804</v>
      </c>
    </row>
    <row r="72" spans="2:25" ht="17.399999999999999" thickTop="1" thickBot="1">
      <c r="B72" s="216">
        <v>6.5999999999999899</v>
      </c>
      <c r="P72" s="342">
        <v>9.2107619999999724</v>
      </c>
      <c r="Q72" s="343">
        <v>1.7960659199999944</v>
      </c>
      <c r="R72" s="343">
        <v>0.62747744399999805</v>
      </c>
      <c r="S72" s="343">
        <v>0.21875396399999933</v>
      </c>
      <c r="T72" s="270">
        <v>0.02</v>
      </c>
      <c r="U72" s="270">
        <v>0</v>
      </c>
      <c r="X72" s="346">
        <v>32.745785097599885</v>
      </c>
      <c r="Y72" s="344">
        <v>6.0636512831999774</v>
      </c>
    </row>
    <row r="73" spans="2:25" ht="17.399999999999999" thickTop="1" thickBot="1">
      <c r="B73" s="103">
        <v>6.6999999999999904</v>
      </c>
      <c r="P73" s="342">
        <v>9.4919904999999734</v>
      </c>
      <c r="Q73" s="343">
        <v>1.8509044799999947</v>
      </c>
      <c r="R73" s="343">
        <v>0.6466359609999982</v>
      </c>
      <c r="S73" s="343">
        <v>0.22543309099999936</v>
      </c>
      <c r="T73" s="270">
        <v>0.02</v>
      </c>
      <c r="U73" s="270">
        <v>0</v>
      </c>
      <c r="X73" s="346">
        <v>33.813657532799887</v>
      </c>
      <c r="Y73" s="344">
        <v>6.2741836895999787</v>
      </c>
    </row>
    <row r="74" spans="2:25" ht="17.399999999999999" thickTop="1" thickBot="1">
      <c r="B74" s="216">
        <v>6.7999999999999901</v>
      </c>
      <c r="P74" s="342">
        <v>9.7774479999999713</v>
      </c>
      <c r="Q74" s="343">
        <v>1.9065676799999944</v>
      </c>
      <c r="R74" s="343">
        <v>0.66608257599999809</v>
      </c>
      <c r="S74" s="343">
        <v>0.23221265599999935</v>
      </c>
      <c r="T74" s="270">
        <v>0.02</v>
      </c>
      <c r="U74" s="270">
        <v>0</v>
      </c>
      <c r="X74" s="346">
        <v>34.901100259199893</v>
      </c>
      <c r="Y74" s="344">
        <v>6.490250534399979</v>
      </c>
    </row>
    <row r="75" spans="2:25" ht="17.399999999999999" thickTop="1" thickBot="1">
      <c r="B75" s="103">
        <v>6.8999999999999897</v>
      </c>
      <c r="P75" s="342">
        <v>10.06713449999997</v>
      </c>
      <c r="Q75" s="343">
        <v>1.9630555199999939</v>
      </c>
      <c r="R75" s="343">
        <v>0.68581728899999794</v>
      </c>
      <c r="S75" s="343">
        <v>0.23909265899999929</v>
      </c>
      <c r="T75" s="270">
        <v>0.02</v>
      </c>
      <c r="U75" s="270">
        <v>0</v>
      </c>
      <c r="X75" s="346">
        <v>36.008219030399879</v>
      </c>
      <c r="Y75" s="344">
        <v>6.7119311327999753</v>
      </c>
    </row>
    <row r="76" spans="2:25" ht="17.399999999999999" thickTop="1" thickBot="1">
      <c r="B76" s="216">
        <v>6.9999999999999902</v>
      </c>
      <c r="P76" s="342">
        <v>10.361049999999972</v>
      </c>
      <c r="Q76" s="343">
        <v>2.0203679999999942</v>
      </c>
      <c r="R76" s="343">
        <v>0.70584009999999808</v>
      </c>
      <c r="S76" s="343">
        <v>0.24607309999999932</v>
      </c>
      <c r="T76" s="270">
        <v>0.02</v>
      </c>
      <c r="U76" s="270">
        <v>0</v>
      </c>
      <c r="X76" s="346">
        <v>37.135119599999889</v>
      </c>
      <c r="Y76" s="344">
        <v>6.9393047999999791</v>
      </c>
    </row>
    <row r="77" spans="2:25" ht="17.399999999999999" thickTop="1" thickBot="1">
      <c r="B77" s="103">
        <v>7.0999999999999899</v>
      </c>
      <c r="P77" s="342">
        <v>10.65919449999997</v>
      </c>
      <c r="Q77" s="343">
        <v>2.0785051199999938</v>
      </c>
      <c r="R77" s="343">
        <v>0.72615100899999785</v>
      </c>
      <c r="S77" s="343">
        <v>0.25315397899999925</v>
      </c>
      <c r="T77" s="270">
        <v>0.02</v>
      </c>
      <c r="U77" s="270">
        <v>0</v>
      </c>
      <c r="X77" s="346">
        <v>38.281907721599879</v>
      </c>
      <c r="Y77" s="344">
        <v>7.1724508511999741</v>
      </c>
    </row>
    <row r="78" spans="2:25" ht="17.399999999999999" thickTop="1" thickBot="1">
      <c r="B78" s="216">
        <v>7.1999999999999904</v>
      </c>
      <c r="P78" s="342">
        <v>10.961567999999971</v>
      </c>
      <c r="Q78" s="343">
        <v>2.1374668799999941</v>
      </c>
      <c r="R78" s="343">
        <v>0.74675001599999802</v>
      </c>
      <c r="S78" s="343">
        <v>0.26033529599999933</v>
      </c>
      <c r="T78" s="270">
        <v>0.02</v>
      </c>
      <c r="U78" s="270">
        <v>0</v>
      </c>
      <c r="X78" s="346">
        <v>39.448689148799886</v>
      </c>
      <c r="Y78" s="344">
        <v>7.411448601599977</v>
      </c>
    </row>
    <row r="79" spans="2:25" ht="17.399999999999999" thickTop="1" thickBot="1">
      <c r="B79" s="103">
        <v>7.2999999999999901</v>
      </c>
      <c r="P79" s="342">
        <v>11.26817049999997</v>
      </c>
      <c r="Q79" s="343">
        <v>2.1972532799999942</v>
      </c>
      <c r="R79" s="343">
        <v>0.76763712099999792</v>
      </c>
      <c r="S79" s="343">
        <v>0.26761705099999927</v>
      </c>
      <c r="T79" s="270">
        <v>0.03</v>
      </c>
      <c r="U79" s="270">
        <v>0</v>
      </c>
      <c r="X79" s="346">
        <v>40.635569635199886</v>
      </c>
      <c r="Y79" s="344">
        <v>7.6563773663999761</v>
      </c>
    </row>
    <row r="80" spans="2:25" ht="17.399999999999999" thickTop="1" thickBot="1">
      <c r="B80" s="216">
        <v>7.3999999999999897</v>
      </c>
      <c r="P80" s="342">
        <v>11.579001999999967</v>
      </c>
      <c r="Q80" s="343">
        <v>2.2578643199999937</v>
      </c>
      <c r="R80" s="343">
        <v>0.78881232399999779</v>
      </c>
      <c r="S80" s="343">
        <v>0.27499924399999925</v>
      </c>
      <c r="T80" s="270">
        <v>0.03</v>
      </c>
      <c r="U80" s="270">
        <v>0</v>
      </c>
      <c r="X80" s="346">
        <v>41.842654934399874</v>
      </c>
      <c r="Y80" s="344">
        <v>7.9073164607999731</v>
      </c>
    </row>
    <row r="81" spans="2:25" ht="17.399999999999999" thickTop="1" thickBot="1">
      <c r="B81" s="103">
        <v>7.4999999999999902</v>
      </c>
      <c r="P81" s="342">
        <v>11.894062499999968</v>
      </c>
      <c r="Q81" s="343">
        <v>2.3192999999999939</v>
      </c>
      <c r="R81" s="343">
        <v>0.81027562499999783</v>
      </c>
      <c r="S81" s="343">
        <v>0.28248187499999927</v>
      </c>
      <c r="T81" s="270">
        <v>0.03</v>
      </c>
      <c r="U81" s="270">
        <v>0</v>
      </c>
      <c r="X81" s="346">
        <v>43.070050799999876</v>
      </c>
      <c r="Y81" s="344">
        <v>8.1643451999999748</v>
      </c>
    </row>
    <row r="82" spans="2:25" ht="17.399999999999999" thickTop="1" thickBot="1">
      <c r="B82" s="216">
        <v>7.5999999999999899</v>
      </c>
      <c r="P82" s="342">
        <v>12.213351999999968</v>
      </c>
      <c r="Q82" s="343">
        <v>2.3815603199999935</v>
      </c>
      <c r="R82" s="343">
        <v>0.83202702399999784</v>
      </c>
      <c r="S82" s="343">
        <v>0.29006494399999927</v>
      </c>
      <c r="T82" s="270">
        <v>0.03</v>
      </c>
      <c r="U82" s="270">
        <v>0</v>
      </c>
      <c r="X82" s="346">
        <v>44.317862985599859</v>
      </c>
      <c r="Y82" s="344">
        <v>8.4275428991999703</v>
      </c>
    </row>
    <row r="83" spans="2:25" ht="17.399999999999999" thickTop="1" thickBot="1">
      <c r="B83" s="103">
        <v>7.6999999999999904</v>
      </c>
      <c r="P83" s="342">
        <v>12.536870499999969</v>
      </c>
      <c r="Q83" s="343">
        <v>2.4446452799999938</v>
      </c>
      <c r="R83" s="343">
        <v>0.8540665209999978</v>
      </c>
      <c r="S83" s="343">
        <v>0.29774845099999925</v>
      </c>
      <c r="T83" s="270">
        <v>0.03</v>
      </c>
      <c r="U83" s="270">
        <v>0</v>
      </c>
      <c r="X83" s="346">
        <v>45.586197244799877</v>
      </c>
      <c r="Y83" s="344">
        <v>8.6969888735999756</v>
      </c>
    </row>
    <row r="84" spans="2:25" ht="17.399999999999999" thickTop="1" thickBot="1">
      <c r="B84" s="216">
        <v>7.7999999999999901</v>
      </c>
      <c r="P84" s="342">
        <v>12.864617999999968</v>
      </c>
      <c r="Q84" s="343">
        <v>2.5085548799999935</v>
      </c>
      <c r="R84" s="343">
        <v>0.87639411599999784</v>
      </c>
      <c r="S84" s="343">
        <v>0.30553239599999926</v>
      </c>
      <c r="T84" s="270">
        <v>0.03</v>
      </c>
      <c r="U84" s="270">
        <v>0</v>
      </c>
      <c r="X84" s="346">
        <v>46.875159331199875</v>
      </c>
      <c r="Y84" s="344">
        <v>8.9727624383999736</v>
      </c>
    </row>
    <row r="85" spans="2:25" ht="17.399999999999999" thickTop="1" thickBot="1">
      <c r="B85" s="103">
        <v>7.8999999999999897</v>
      </c>
      <c r="P85" s="342">
        <v>13.196594499999966</v>
      </c>
      <c r="Q85" s="343">
        <v>2.5732891199999934</v>
      </c>
      <c r="R85" s="343">
        <v>0.89900980899999772</v>
      </c>
      <c r="S85" s="343">
        <v>0.3134167789999992</v>
      </c>
      <c r="T85" s="270">
        <v>0.03</v>
      </c>
      <c r="U85" s="270">
        <v>0</v>
      </c>
      <c r="X85" s="346">
        <v>48.184854998399864</v>
      </c>
      <c r="Y85" s="344">
        <v>9.2549429087999702</v>
      </c>
    </row>
    <row r="86" spans="2:25" ht="17.399999999999999" thickTop="1" thickBot="1">
      <c r="B86" s="216">
        <v>7.9999999999999902</v>
      </c>
      <c r="P86" s="342">
        <v>13.532799999999966</v>
      </c>
      <c r="Q86" s="343">
        <v>2.6388479999999932</v>
      </c>
      <c r="R86" s="343">
        <v>0.92191359999999778</v>
      </c>
      <c r="S86" s="343">
        <v>0.32140159999999923</v>
      </c>
      <c r="T86" s="270">
        <v>0.03</v>
      </c>
      <c r="U86" s="270">
        <v>0</v>
      </c>
      <c r="X86" s="346">
        <v>49.515389999999869</v>
      </c>
      <c r="Y86" s="344">
        <v>9.5436095999999715</v>
      </c>
    </row>
    <row r="87" spans="2:25" ht="17.399999999999999" thickTop="1" thickBot="1">
      <c r="B87" s="103">
        <v>8.0999999999999908</v>
      </c>
      <c r="P87" s="342">
        <v>13.87323449999997</v>
      </c>
      <c r="Q87" s="343">
        <v>2.7052315199999941</v>
      </c>
      <c r="R87" s="343">
        <v>0.94510548899999791</v>
      </c>
      <c r="S87" s="343">
        <v>0.3294868589999993</v>
      </c>
      <c r="T87" s="270">
        <v>0.03</v>
      </c>
      <c r="U87" s="270">
        <v>0</v>
      </c>
      <c r="X87" s="346">
        <v>50.866870089599871</v>
      </c>
      <c r="Y87" s="344">
        <v>9.8388418271999711</v>
      </c>
    </row>
    <row r="88" spans="2:25" ht="17.399999999999999" thickTop="1" thickBot="1">
      <c r="B88" s="216">
        <v>8.1999999999999904</v>
      </c>
      <c r="P88" s="342">
        <v>14.217897999999966</v>
      </c>
      <c r="Q88" s="343">
        <v>2.7724396799999931</v>
      </c>
      <c r="R88" s="343">
        <v>0.96858547599999767</v>
      </c>
      <c r="S88" s="343">
        <v>0.33767255599999918</v>
      </c>
      <c r="T88" s="270">
        <v>0.03</v>
      </c>
      <c r="U88" s="270">
        <v>0</v>
      </c>
      <c r="X88" s="346">
        <v>52.239401020799868</v>
      </c>
      <c r="Y88" s="344">
        <v>10.140718905599972</v>
      </c>
    </row>
    <row r="89" spans="2:25" ht="17.399999999999999" thickTop="1" thickBot="1">
      <c r="B89" s="103">
        <v>8.2999999999999901</v>
      </c>
      <c r="P89" s="342">
        <v>14.566790499999964</v>
      </c>
      <c r="Q89" s="343">
        <v>2.8404724799999927</v>
      </c>
      <c r="R89" s="343">
        <v>0.9923535609999975</v>
      </c>
      <c r="S89" s="343">
        <v>0.34595869099999915</v>
      </c>
      <c r="T89" s="270">
        <v>0.03</v>
      </c>
      <c r="U89" s="270">
        <v>0</v>
      </c>
      <c r="X89" s="346">
        <v>53.633088547199854</v>
      </c>
      <c r="Y89" s="344">
        <v>10.44932015039997</v>
      </c>
    </row>
    <row r="90" spans="2:25" ht="17.399999999999999" thickTop="1" thickBot="1">
      <c r="B90" s="216">
        <v>8.3999999999999897</v>
      </c>
      <c r="P90" s="342">
        <v>14.919911999999965</v>
      </c>
      <c r="Q90" s="343">
        <v>2.9093299199999931</v>
      </c>
      <c r="R90" s="343">
        <v>1.0164097439999975</v>
      </c>
      <c r="S90" s="343">
        <v>0.35434526399999916</v>
      </c>
      <c r="T90" s="270">
        <v>0.03</v>
      </c>
      <c r="U90" s="270">
        <v>0</v>
      </c>
      <c r="X90" s="346">
        <v>55.048038422399834</v>
      </c>
      <c r="Y90" s="344">
        <v>10.764724876799969</v>
      </c>
    </row>
    <row r="91" spans="2:25" ht="17.399999999999999" thickTop="1" thickBot="1">
      <c r="B91" s="103">
        <v>8.4999999999999893</v>
      </c>
      <c r="P91" s="342">
        <v>15.27726249999996</v>
      </c>
      <c r="Q91" s="343">
        <v>2.9790119999999924</v>
      </c>
      <c r="R91" s="343">
        <v>1.0407540249999974</v>
      </c>
      <c r="S91" s="343">
        <v>0.36283227499999909</v>
      </c>
      <c r="T91" s="270">
        <v>0.03</v>
      </c>
      <c r="U91" s="270">
        <v>0</v>
      </c>
      <c r="X91" s="346">
        <v>56.484356399999847</v>
      </c>
      <c r="Y91" s="344">
        <v>11.087012399999965</v>
      </c>
    </row>
    <row r="92" spans="2:25" ht="17.399999999999999" thickTop="1" thickBot="1">
      <c r="B92" s="216">
        <v>8.5999999999999908</v>
      </c>
      <c r="P92" s="342">
        <v>15.638841999999965</v>
      </c>
      <c r="Q92" s="343">
        <v>3.0495187199999934</v>
      </c>
      <c r="R92" s="343">
        <v>1.0653864039999976</v>
      </c>
      <c r="S92" s="343">
        <v>0.37141972399999917</v>
      </c>
      <c r="T92" s="270">
        <v>0.03</v>
      </c>
      <c r="U92" s="270">
        <v>0</v>
      </c>
      <c r="X92" s="346">
        <v>57.942148233599859</v>
      </c>
      <c r="Y92" s="344">
        <v>11.416262035199969</v>
      </c>
    </row>
    <row r="93" spans="2:25" ht="17.399999999999999" thickTop="1" thickBot="1">
      <c r="B93" s="103">
        <v>8.6999999999999904</v>
      </c>
      <c r="P93" s="342">
        <v>16.004650499999965</v>
      </c>
      <c r="Q93" s="343">
        <v>3.1208500799999928</v>
      </c>
      <c r="R93" s="343">
        <v>1.0903068809999976</v>
      </c>
      <c r="S93" s="343">
        <v>0.38010761099999912</v>
      </c>
      <c r="T93" s="270">
        <v>0.04</v>
      </c>
      <c r="U93" s="270">
        <v>0</v>
      </c>
      <c r="X93" s="346">
        <v>59.421519676799846</v>
      </c>
      <c r="Y93" s="344">
        <v>11.752553097599968</v>
      </c>
    </row>
    <row r="94" spans="2:25" ht="17.399999999999999" thickTop="1" thickBot="1">
      <c r="B94" s="216">
        <v>8.7999999999999901</v>
      </c>
      <c r="P94" s="342">
        <v>16.374687999999963</v>
      </c>
      <c r="Q94" s="343">
        <v>3.1930060799999929</v>
      </c>
      <c r="R94" s="343">
        <v>1.1155154559999976</v>
      </c>
      <c r="S94" s="343">
        <v>0.38889593599999916</v>
      </c>
      <c r="T94" s="270">
        <v>0.04</v>
      </c>
      <c r="U94" s="270">
        <v>0</v>
      </c>
      <c r="X94" s="346">
        <v>60.922576483199848</v>
      </c>
      <c r="Y94" s="344">
        <v>12.095964902399967</v>
      </c>
    </row>
    <row r="95" spans="2:25" ht="17.399999999999999" thickTop="1" thickBot="1">
      <c r="B95" s="103">
        <v>8.8999999999999897</v>
      </c>
      <c r="P95" s="342">
        <v>16.748954499999961</v>
      </c>
      <c r="Q95" s="343">
        <v>3.2659867199999923</v>
      </c>
      <c r="R95" s="343">
        <v>1.1410121289999975</v>
      </c>
      <c r="S95" s="343">
        <v>0.39778469899999913</v>
      </c>
      <c r="T95" s="270">
        <v>0.04</v>
      </c>
      <c r="U95" s="270">
        <v>0</v>
      </c>
      <c r="X95" s="346">
        <v>62.445424406399844</v>
      </c>
      <c r="Y95" s="344">
        <v>12.446576764799968</v>
      </c>
    </row>
    <row r="96" spans="2:25" ht="17.399999999999999" thickTop="1" thickBot="1">
      <c r="B96" s="216">
        <v>8.9999999999999893</v>
      </c>
      <c r="P96" s="342">
        <v>17.127449999999957</v>
      </c>
      <c r="Q96" s="343">
        <v>3.3397919999999917</v>
      </c>
      <c r="R96" s="343">
        <v>1.1667968999999971</v>
      </c>
      <c r="S96" s="343">
        <v>0.40677389999999902</v>
      </c>
      <c r="T96" s="270">
        <v>0.04</v>
      </c>
      <c r="U96" s="270">
        <v>0</v>
      </c>
      <c r="X96" s="346">
        <v>63.990169199999798</v>
      </c>
      <c r="Y96" s="344">
        <v>12.804467999999957</v>
      </c>
    </row>
    <row r="97" spans="2:25" ht="17.399999999999999" thickTop="1" thickBot="1">
      <c r="B97" s="103">
        <v>9.0999999999999908</v>
      </c>
      <c r="P97" s="342">
        <v>17.510174499999966</v>
      </c>
      <c r="Q97" s="343">
        <v>3.414421919999993</v>
      </c>
      <c r="R97" s="343">
        <v>1.1928697689999976</v>
      </c>
      <c r="S97" s="343">
        <v>0.41586353899999917</v>
      </c>
      <c r="T97" s="270">
        <v>0.04</v>
      </c>
      <c r="U97" s="270">
        <v>0</v>
      </c>
      <c r="X97" s="346">
        <v>65.556916617599825</v>
      </c>
      <c r="Y97" s="344">
        <v>13.169717923199963</v>
      </c>
    </row>
    <row r="98" spans="2:25" ht="17.399999999999999" thickTop="1" thickBot="1">
      <c r="B98" s="216">
        <v>9.1999999999999797</v>
      </c>
      <c r="P98" s="342">
        <v>17.89712799999992</v>
      </c>
      <c r="Q98" s="343">
        <v>3.4898764799999844</v>
      </c>
      <c r="R98" s="343">
        <v>1.2192307359999948</v>
      </c>
      <c r="S98" s="343">
        <v>0.42505361599999814</v>
      </c>
      <c r="T98" s="270">
        <v>0.04</v>
      </c>
      <c r="U98" s="270">
        <v>0</v>
      </c>
      <c r="X98" s="346">
        <v>67.145772412799658</v>
      </c>
      <c r="Y98" s="344">
        <v>13.54240584959992</v>
      </c>
    </row>
    <row r="99" spans="2:25" ht="17.399999999999999" thickTop="1" thickBot="1">
      <c r="B99" s="103">
        <v>9.2999999999999794</v>
      </c>
      <c r="P99" s="342">
        <v>18.288310499999916</v>
      </c>
      <c r="Q99" s="343">
        <v>3.5661556799999836</v>
      </c>
      <c r="R99" s="343">
        <v>1.2458798009999943</v>
      </c>
      <c r="S99" s="343">
        <v>0.43434413099999808</v>
      </c>
      <c r="T99" s="270">
        <v>0.04</v>
      </c>
      <c r="U99" s="270">
        <v>0</v>
      </c>
      <c r="X99" s="346">
        <v>68.756842339199665</v>
      </c>
      <c r="Y99" s="344">
        <v>13.922611094399919</v>
      </c>
    </row>
    <row r="100" spans="2:25" ht="17.399999999999999" thickTop="1" thickBot="1">
      <c r="B100" s="216">
        <v>9.3999999999999808</v>
      </c>
      <c r="P100" s="342">
        <v>18.683721999999925</v>
      </c>
      <c r="Q100" s="343">
        <v>3.6432595199999853</v>
      </c>
      <c r="R100" s="343">
        <v>1.2728169639999949</v>
      </c>
      <c r="S100" s="343">
        <v>0.44373508399999823</v>
      </c>
      <c r="T100" s="270">
        <v>0.04</v>
      </c>
      <c r="U100" s="270">
        <v>0</v>
      </c>
      <c r="X100" s="346">
        <v>70.390232150399683</v>
      </c>
      <c r="Y100" s="344">
        <v>14.310412972799925</v>
      </c>
    </row>
    <row r="101" spans="2:25" ht="17.399999999999999" thickTop="1" thickBot="1">
      <c r="B101" s="103">
        <v>9.4999999999999805</v>
      </c>
      <c r="P101" s="342">
        <v>19.083362499999922</v>
      </c>
      <c r="Q101" s="343">
        <v>3.7211879999999846</v>
      </c>
      <c r="R101" s="343">
        <v>1.3000422249999948</v>
      </c>
      <c r="S101" s="343">
        <v>0.45322647499999813</v>
      </c>
      <c r="T101" s="270">
        <v>0.04</v>
      </c>
      <c r="U101" s="270">
        <v>0</v>
      </c>
      <c r="X101" s="346">
        <v>72.046047599999667</v>
      </c>
      <c r="Y101" s="344">
        <v>14.705890799999922</v>
      </c>
    </row>
    <row r="102" spans="2:25" ht="17.399999999999999" thickTop="1" thickBot="1">
      <c r="B102" s="216">
        <v>9.5999999999999801</v>
      </c>
      <c r="P102" s="342">
        <v>19.487231999999917</v>
      </c>
      <c r="Q102" s="343">
        <v>3.7999411199999837</v>
      </c>
      <c r="R102" s="343">
        <v>1.3275555839999944</v>
      </c>
      <c r="S102" s="343">
        <v>0.46281830399999807</v>
      </c>
      <c r="T102" s="270">
        <v>0.04</v>
      </c>
      <c r="U102" s="270">
        <v>0</v>
      </c>
      <c r="X102" s="346">
        <v>73.724394441599685</v>
      </c>
      <c r="Y102" s="344">
        <v>15.109123891199925</v>
      </c>
    </row>
    <row r="103" spans="2:25" ht="17.399999999999999" thickTop="1" thickBot="1">
      <c r="B103" s="103">
        <v>9.6999999999999797</v>
      </c>
      <c r="P103" s="342">
        <v>19.895330499999915</v>
      </c>
      <c r="Q103" s="343">
        <v>3.8795188799999836</v>
      </c>
      <c r="R103" s="343">
        <v>1.3553570409999942</v>
      </c>
      <c r="S103" s="343">
        <v>0.47251057099999805</v>
      </c>
      <c r="T103" s="270">
        <v>0.04</v>
      </c>
      <c r="U103" s="270">
        <v>0</v>
      </c>
      <c r="X103" s="346">
        <v>75.425378428799633</v>
      </c>
      <c r="Y103" s="344">
        <v>15.520191561599912</v>
      </c>
    </row>
    <row r="104" spans="2:25" ht="17.399999999999999" thickTop="1" thickBot="1">
      <c r="B104" s="216">
        <v>9.7999999999999794</v>
      </c>
      <c r="P104" s="342">
        <v>20.307657999999915</v>
      </c>
      <c r="Q104" s="343">
        <v>3.9599212799999832</v>
      </c>
      <c r="R104" s="343">
        <v>1.3834465959999942</v>
      </c>
      <c r="S104" s="343">
        <v>0.48230327599999795</v>
      </c>
      <c r="T104" s="270">
        <v>0.05</v>
      </c>
      <c r="U104" s="270">
        <v>0</v>
      </c>
      <c r="X104" s="346">
        <v>77.149105315199634</v>
      </c>
      <c r="Y104" s="344">
        <v>15.939173126399911</v>
      </c>
    </row>
    <row r="105" spans="2:25" ht="17.399999999999999" thickTop="1" thickBot="1">
      <c r="B105" s="103">
        <v>9.8999999999999808</v>
      </c>
      <c r="P105" s="342">
        <v>20.72421449999992</v>
      </c>
      <c r="Q105" s="343">
        <v>4.0411483199999845</v>
      </c>
      <c r="R105" s="343">
        <v>1.4118242489999946</v>
      </c>
      <c r="S105" s="343">
        <v>0.49219641899999811</v>
      </c>
      <c r="T105" s="270">
        <v>0.05</v>
      </c>
      <c r="U105" s="270">
        <v>0</v>
      </c>
      <c r="X105" s="346">
        <v>78.895680854399671</v>
      </c>
      <c r="Y105" s="344">
        <v>16.366147900799916</v>
      </c>
    </row>
    <row r="106" spans="2:25" ht="17.399999999999999" thickTop="1" thickBot="1">
      <c r="B106" s="216">
        <v>9.9999999999999805</v>
      </c>
      <c r="P106" s="342">
        <v>21.144999999999914</v>
      </c>
      <c r="Q106" s="343">
        <v>4.1231999999999838</v>
      </c>
      <c r="R106" s="343">
        <v>1.4404899999999943</v>
      </c>
      <c r="S106" s="343">
        <v>0.50218999999999803</v>
      </c>
      <c r="T106" s="270">
        <v>0.05</v>
      </c>
      <c r="U106" s="270">
        <v>0</v>
      </c>
      <c r="X106" s="346">
        <v>80.66521079999967</v>
      </c>
      <c r="Y106" s="344">
        <v>16.801195199999917</v>
      </c>
    </row>
    <row r="107" spans="2:25" ht="17.399999999999999" thickTop="1" thickBot="1">
      <c r="B107" s="103">
        <v>10.1</v>
      </c>
      <c r="P107" s="342">
        <v>21.570014499999999</v>
      </c>
      <c r="Q107" s="343">
        <v>4.2060763199999993</v>
      </c>
      <c r="R107" s="343">
        <v>1.4694438489999999</v>
      </c>
      <c r="S107" s="343">
        <v>0.51228401899999998</v>
      </c>
      <c r="T107" s="270">
        <v>0.05</v>
      </c>
      <c r="U107" s="270">
        <v>0</v>
      </c>
      <c r="X107" s="346">
        <v>82.457800905599996</v>
      </c>
      <c r="Y107" s="344">
        <v>17.244394339199999</v>
      </c>
    </row>
    <row r="108" spans="2:25" ht="17.399999999999999" thickTop="1" thickBot="1">
      <c r="B108" s="216">
        <v>10.199999999999999</v>
      </c>
      <c r="P108" s="342">
        <v>21.999257999999998</v>
      </c>
      <c r="Q108" s="343">
        <v>4.2897772799999991</v>
      </c>
      <c r="R108" s="343">
        <v>1.498685796</v>
      </c>
      <c r="S108" s="343">
        <v>0.52247847599999997</v>
      </c>
      <c r="T108" s="270">
        <v>0.05</v>
      </c>
      <c r="U108" s="270">
        <v>0</v>
      </c>
      <c r="X108" s="346">
        <v>84.27355692479999</v>
      </c>
      <c r="Y108" s="344">
        <v>17.695824633599997</v>
      </c>
    </row>
    <row r="109" spans="2:25" ht="17.399999999999999" thickTop="1" thickBot="1">
      <c r="B109" s="103">
        <v>10.3</v>
      </c>
      <c r="P109" s="342">
        <v>22.432730500000005</v>
      </c>
      <c r="Q109" s="343">
        <v>4.3743028800000001</v>
      </c>
      <c r="R109" s="343">
        <v>1.5282158410000002</v>
      </c>
      <c r="S109" s="343">
        <v>0.53277337100000011</v>
      </c>
      <c r="T109" s="270">
        <v>0.05</v>
      </c>
      <c r="U109" s="270">
        <v>0</v>
      </c>
      <c r="X109" s="346">
        <v>86.112584611199992</v>
      </c>
      <c r="Y109" s="344">
        <v>18.1555653984</v>
      </c>
    </row>
    <row r="110" spans="2:25" ht="17.399999999999999" thickTop="1" thickBot="1">
      <c r="B110" s="216">
        <v>10.4</v>
      </c>
      <c r="P110" s="342">
        <v>22.870432000000001</v>
      </c>
      <c r="Q110" s="343">
        <v>4.4596531200000005</v>
      </c>
      <c r="R110" s="343">
        <v>1.5580339840000001</v>
      </c>
      <c r="S110" s="343">
        <v>0.54316870400000006</v>
      </c>
      <c r="T110" s="270">
        <v>0.05</v>
      </c>
      <c r="U110" s="270">
        <v>0</v>
      </c>
      <c r="X110" s="346">
        <v>87.974989718399982</v>
      </c>
      <c r="Y110" s="344">
        <v>18.623695948799998</v>
      </c>
    </row>
    <row r="111" spans="2:25" ht="17.399999999999999" thickTop="1" thickBot="1">
      <c r="B111" s="103">
        <v>10.5</v>
      </c>
      <c r="P111" s="342">
        <v>23.312362499999999</v>
      </c>
      <c r="Q111" s="343">
        <v>4.5458280000000002</v>
      </c>
      <c r="R111" s="343">
        <v>1.5881402250000001</v>
      </c>
      <c r="S111" s="343">
        <v>0.55366447500000004</v>
      </c>
      <c r="T111" s="270">
        <v>0.05</v>
      </c>
      <c r="U111" s="270">
        <v>0</v>
      </c>
      <c r="X111" s="346">
        <v>89.860877999999985</v>
      </c>
      <c r="Y111" s="344">
        <v>19.100295599999999</v>
      </c>
    </row>
    <row r="112" spans="2:25" ht="17.399999999999999" thickTop="1" thickBot="1">
      <c r="B112" s="216">
        <v>10.6</v>
      </c>
      <c r="P112" s="342">
        <v>23.758521999999999</v>
      </c>
      <c r="Q112" s="343">
        <v>4.6328275199999993</v>
      </c>
      <c r="R112" s="343">
        <v>1.618534564</v>
      </c>
      <c r="S112" s="343">
        <v>0.56426068400000007</v>
      </c>
      <c r="T112" s="270">
        <v>0.05</v>
      </c>
      <c r="U112" s="270">
        <v>0</v>
      </c>
      <c r="X112" s="346">
        <v>91.770355209599998</v>
      </c>
      <c r="Y112" s="344">
        <v>19.5854436672</v>
      </c>
    </row>
    <row r="113" spans="2:25" ht="17.399999999999999" thickTop="1" thickBot="1">
      <c r="B113" s="103">
        <v>10.7</v>
      </c>
      <c r="P113" s="342">
        <v>24.208910499999995</v>
      </c>
      <c r="Q113" s="343">
        <v>4.7206516799999987</v>
      </c>
      <c r="R113" s="343">
        <v>1.6492170009999998</v>
      </c>
      <c r="S113" s="343">
        <v>0.5749573309999999</v>
      </c>
      <c r="T113" s="270">
        <v>0.05</v>
      </c>
      <c r="U113" s="270">
        <v>0</v>
      </c>
      <c r="X113" s="346">
        <v>93.703527100799988</v>
      </c>
      <c r="Y113" s="344">
        <v>20.079219465600001</v>
      </c>
    </row>
    <row r="114" spans="2:25" ht="17.399999999999999" thickTop="1" thickBot="1">
      <c r="B114" s="216">
        <v>10.8</v>
      </c>
      <c r="P114" s="342">
        <v>24.663528000000003</v>
      </c>
      <c r="Q114" s="343">
        <v>4.8093004800000001</v>
      </c>
      <c r="R114" s="343">
        <v>1.6801875360000003</v>
      </c>
      <c r="S114" s="343">
        <v>0.58575441600000011</v>
      </c>
      <c r="T114" s="270">
        <v>0.05</v>
      </c>
      <c r="U114" s="270">
        <v>0</v>
      </c>
      <c r="X114" s="346">
        <v>95.66049942719998</v>
      </c>
      <c r="Y114" s="344">
        <v>20.581702310399997</v>
      </c>
    </row>
    <row r="115" spans="2:25" ht="17.399999999999999" thickTop="1" thickBot="1">
      <c r="B115" s="103">
        <v>10.9</v>
      </c>
      <c r="P115" s="342">
        <v>25.122374499999999</v>
      </c>
      <c r="Q115" s="343">
        <v>4.89877392</v>
      </c>
      <c r="R115" s="343">
        <v>1.711446169</v>
      </c>
      <c r="S115" s="343">
        <v>0.59665193900000002</v>
      </c>
      <c r="T115" s="270">
        <v>0.06</v>
      </c>
      <c r="U115" s="270">
        <v>0</v>
      </c>
      <c r="X115" s="346">
        <v>97.64137794239997</v>
      </c>
      <c r="Y115" s="344">
        <v>21.092971516799999</v>
      </c>
    </row>
    <row r="116" spans="2:25" ht="17.399999999999999" thickTop="1" thickBot="1">
      <c r="B116" s="216">
        <v>11</v>
      </c>
      <c r="P116" s="342">
        <v>25.585450000000002</v>
      </c>
      <c r="Q116" s="343">
        <v>4.9890720000000002</v>
      </c>
      <c r="R116" s="343">
        <v>1.7429929</v>
      </c>
      <c r="S116" s="343">
        <v>0.60764989999999997</v>
      </c>
      <c r="T116" s="270">
        <v>0.06</v>
      </c>
      <c r="U116" s="270">
        <v>0</v>
      </c>
      <c r="X116" s="346">
        <v>99.646268399999983</v>
      </c>
      <c r="Y116" s="344">
        <v>21.613106400000003</v>
      </c>
    </row>
    <row r="117" spans="2:25" ht="17.399999999999999" thickTop="1" thickBot="1">
      <c r="B117" s="103">
        <v>11.1</v>
      </c>
      <c r="P117" s="342">
        <v>26.052754499999999</v>
      </c>
      <c r="Q117" s="343">
        <v>5.0801947199999997</v>
      </c>
      <c r="R117" s="343">
        <v>1.7748277289999999</v>
      </c>
      <c r="S117" s="343">
        <v>0.61874829899999995</v>
      </c>
      <c r="T117" s="270">
        <v>0.06</v>
      </c>
      <c r="U117" s="270">
        <v>0</v>
      </c>
      <c r="X117" s="346">
        <v>101.67527655359997</v>
      </c>
      <c r="Y117" s="344">
        <v>22.1421862752</v>
      </c>
    </row>
    <row r="118" spans="2:25" ht="17.399999999999999" thickTop="1" thickBot="1">
      <c r="B118" s="216">
        <v>11.2</v>
      </c>
      <c r="P118" s="342">
        <v>26.524287999999995</v>
      </c>
      <c r="Q118" s="343">
        <v>5.1721420799999986</v>
      </c>
      <c r="R118" s="343">
        <v>1.8069506559999997</v>
      </c>
      <c r="S118" s="343">
        <v>0.62994713599999996</v>
      </c>
      <c r="T118" s="270">
        <v>0.06</v>
      </c>
      <c r="U118" s="270">
        <v>0</v>
      </c>
      <c r="X118" s="346">
        <v>103.72850815679998</v>
      </c>
      <c r="Y118" s="344">
        <v>22.680290457599998</v>
      </c>
    </row>
    <row r="119" spans="2:25" ht="17.399999999999999" thickTop="1" thickBot="1">
      <c r="B119" s="103">
        <v>11.3</v>
      </c>
      <c r="P119" s="342">
        <v>27.000050500000004</v>
      </c>
      <c r="Q119" s="343">
        <v>5.2649140800000005</v>
      </c>
      <c r="R119" s="343">
        <v>1.8393616810000002</v>
      </c>
      <c r="S119" s="343">
        <v>0.64124641100000013</v>
      </c>
      <c r="T119" s="270">
        <v>0.06</v>
      </c>
      <c r="U119" s="270">
        <v>0</v>
      </c>
      <c r="X119" s="346">
        <v>105.80606896319998</v>
      </c>
      <c r="Y119" s="344">
        <v>23.227498262399997</v>
      </c>
    </row>
    <row r="120" spans="2:25" ht="17.399999999999999" thickTop="1" thickBot="1">
      <c r="B120" s="216">
        <v>11.4</v>
      </c>
      <c r="P120" s="342">
        <v>27.480042000000001</v>
      </c>
      <c r="Q120" s="343">
        <v>5.3585107199999999</v>
      </c>
      <c r="R120" s="343">
        <v>1.8720608040000002</v>
      </c>
      <c r="S120" s="343">
        <v>0.65264612400000011</v>
      </c>
      <c r="T120" s="270">
        <v>0.06</v>
      </c>
      <c r="U120" s="270">
        <v>0</v>
      </c>
      <c r="X120" s="346">
        <v>107.9080647264</v>
      </c>
      <c r="Y120" s="344">
        <v>23.783889004799999</v>
      </c>
    </row>
    <row r="121" spans="2:25" ht="17.399999999999999" thickTop="1" thickBot="1">
      <c r="B121" s="103">
        <v>11.5</v>
      </c>
      <c r="P121" s="342">
        <v>27.9642625</v>
      </c>
      <c r="Q121" s="343">
        <v>5.4529319999999997</v>
      </c>
      <c r="R121" s="343">
        <v>1.9050480249999999</v>
      </c>
      <c r="S121" s="343">
        <v>0.66414627500000001</v>
      </c>
      <c r="T121" s="270">
        <v>0.06</v>
      </c>
      <c r="U121" s="270">
        <v>0</v>
      </c>
      <c r="X121" s="346">
        <v>110.0346012</v>
      </c>
      <c r="Y121" s="344">
        <v>24.349542</v>
      </c>
    </row>
    <row r="122" spans="2:25" ht="17.399999999999999" thickTop="1" thickBot="1">
      <c r="B122" s="216">
        <v>11.6</v>
      </c>
      <c r="P122" s="342">
        <v>28.452712000000002</v>
      </c>
      <c r="Q122" s="343">
        <v>5.5481779199999997</v>
      </c>
      <c r="R122" s="343">
        <v>1.9383233440000001</v>
      </c>
      <c r="S122" s="343">
        <v>0.67574686400000006</v>
      </c>
      <c r="T122" s="270">
        <v>0.06</v>
      </c>
      <c r="U122" s="270">
        <v>0</v>
      </c>
      <c r="X122" s="346">
        <v>112.18578413759998</v>
      </c>
      <c r="Y122" s="344">
        <v>24.9245365632</v>
      </c>
    </row>
    <row r="123" spans="2:25" ht="17.399999999999999" thickTop="1" thickBot="1">
      <c r="B123" s="103">
        <v>11.7</v>
      </c>
      <c r="P123" s="342">
        <v>28.945390499999998</v>
      </c>
      <c r="Q123" s="343">
        <v>5.644248479999999</v>
      </c>
      <c r="R123" s="343">
        <v>1.9718867609999997</v>
      </c>
      <c r="S123" s="343">
        <v>0.68744789099999992</v>
      </c>
      <c r="T123" s="270">
        <v>0.06</v>
      </c>
      <c r="U123" s="270">
        <v>0.01</v>
      </c>
      <c r="X123" s="346">
        <v>114.36171929279999</v>
      </c>
      <c r="Y123" s="344">
        <v>25.508952009599998</v>
      </c>
    </row>
    <row r="124" spans="2:25" ht="17.399999999999999" thickTop="1" thickBot="1">
      <c r="B124" s="216">
        <v>11.8</v>
      </c>
      <c r="P124" s="342">
        <v>29.442298000000001</v>
      </c>
      <c r="Q124" s="343">
        <v>5.7411436800000004</v>
      </c>
      <c r="R124" s="343">
        <v>2.0057382760000002</v>
      </c>
      <c r="S124" s="343">
        <v>0.69924935600000004</v>
      </c>
      <c r="T124" s="270">
        <v>7.0000000000000007E-2</v>
      </c>
      <c r="U124" s="270">
        <v>0.01</v>
      </c>
      <c r="X124" s="346">
        <v>116.56251241919998</v>
      </c>
      <c r="Y124" s="344">
        <v>26.102867654399997</v>
      </c>
    </row>
    <row r="125" spans="2:25" ht="17.399999999999999" thickTop="1" thickBot="1">
      <c r="B125" s="103">
        <v>11.9</v>
      </c>
      <c r="P125" s="342">
        <v>29.943434500000002</v>
      </c>
      <c r="Q125" s="343">
        <v>5.8388635200000003</v>
      </c>
      <c r="R125" s="343">
        <v>2.039877889</v>
      </c>
      <c r="S125" s="343">
        <v>0.71115125900000009</v>
      </c>
      <c r="T125" s="270">
        <v>7.0000000000000007E-2</v>
      </c>
      <c r="U125" s="270">
        <v>0.01</v>
      </c>
      <c r="X125" s="346">
        <v>118.78826927039997</v>
      </c>
      <c r="Y125" s="344">
        <v>26.706362812799998</v>
      </c>
    </row>
    <row r="126" spans="2:25" ht="17.399999999999999" thickTop="1" thickBot="1">
      <c r="B126" s="216">
        <v>12</v>
      </c>
      <c r="P126" s="342">
        <v>30.448799999999999</v>
      </c>
      <c r="Q126" s="343">
        <v>5.9374079999999996</v>
      </c>
      <c r="R126" s="343">
        <v>2.0743056000000002</v>
      </c>
      <c r="S126" s="343">
        <v>0.72315360000000006</v>
      </c>
      <c r="T126" s="270">
        <v>7.0000000000000007E-2</v>
      </c>
      <c r="U126" s="270">
        <v>0.01</v>
      </c>
      <c r="X126" s="346">
        <v>121.03909559999998</v>
      </c>
      <c r="Y126" s="344">
        <v>27.319516799999995</v>
      </c>
    </row>
    <row r="127" spans="2:25" ht="17.399999999999999" thickTop="1" thickBot="1">
      <c r="B127" s="103">
        <v>12.1</v>
      </c>
      <c r="P127" s="342">
        <v>30.958394500000001</v>
      </c>
      <c r="Q127" s="343">
        <v>6.0367771199999991</v>
      </c>
      <c r="R127" s="343">
        <v>2.1090214089999999</v>
      </c>
      <c r="S127" s="343">
        <v>0.73525637899999996</v>
      </c>
      <c r="T127" s="270">
        <v>7.0000000000000007E-2</v>
      </c>
      <c r="U127" s="270">
        <v>0.01</v>
      </c>
      <c r="X127" s="346">
        <v>123.31509716159997</v>
      </c>
      <c r="Y127" s="344">
        <v>27.942408931199999</v>
      </c>
    </row>
    <row r="128" spans="2:25" ht="17.399999999999999" thickTop="1" thickBot="1">
      <c r="B128" s="216">
        <v>12.2</v>
      </c>
      <c r="P128" s="342">
        <v>31.472217999999994</v>
      </c>
      <c r="Q128" s="343">
        <v>6.1369708799999989</v>
      </c>
      <c r="R128" s="343">
        <v>2.1440253159999996</v>
      </c>
      <c r="S128" s="343">
        <v>0.74745959599999989</v>
      </c>
      <c r="T128" s="270">
        <v>7.0000000000000007E-2</v>
      </c>
      <c r="U128" s="270">
        <v>0.01</v>
      </c>
      <c r="X128" s="346">
        <v>125.61637970879998</v>
      </c>
      <c r="Y128" s="344">
        <v>28.575118521599997</v>
      </c>
    </row>
    <row r="129" spans="2:25" ht="17.399999999999999" thickTop="1" thickBot="1">
      <c r="B129" s="103">
        <v>12.3</v>
      </c>
      <c r="P129" s="342">
        <v>31.990270500000005</v>
      </c>
      <c r="Q129" s="343">
        <v>6.2379892800000007</v>
      </c>
      <c r="R129" s="343">
        <v>2.1793173210000001</v>
      </c>
      <c r="S129" s="343">
        <v>0.75976325100000008</v>
      </c>
      <c r="T129" s="270">
        <v>7.0000000000000007E-2</v>
      </c>
      <c r="U129" s="270">
        <v>0.01</v>
      </c>
      <c r="X129" s="346">
        <v>127.94304899519997</v>
      </c>
      <c r="Y129" s="344">
        <v>29.217724886399996</v>
      </c>
    </row>
    <row r="130" spans="2:25" ht="17.399999999999999" thickTop="1" thickBot="1">
      <c r="B130" s="216">
        <v>12.4</v>
      </c>
      <c r="P130" s="342">
        <v>32.512552000000007</v>
      </c>
      <c r="Q130" s="343">
        <v>6.3398323200000002</v>
      </c>
      <c r="R130" s="343">
        <v>2.2148974240000001</v>
      </c>
      <c r="S130" s="343">
        <v>0.77216734400000009</v>
      </c>
      <c r="T130" s="270">
        <v>7.0000000000000007E-2</v>
      </c>
      <c r="U130" s="270">
        <v>0.01</v>
      </c>
      <c r="X130" s="346">
        <v>130.29521077439998</v>
      </c>
      <c r="Y130" s="344">
        <v>29.870307340799997</v>
      </c>
    </row>
    <row r="131" spans="2:25" ht="17.399999999999999" thickTop="1" thickBot="1">
      <c r="B131" s="103">
        <v>12.5</v>
      </c>
      <c r="P131" s="342">
        <v>33.0390625</v>
      </c>
      <c r="Q131" s="343">
        <v>6.4424999999999999</v>
      </c>
      <c r="R131" s="343">
        <v>2.2507656250000001</v>
      </c>
      <c r="S131" s="343">
        <v>0.78467187500000002</v>
      </c>
      <c r="T131" s="270">
        <v>7.0000000000000007E-2</v>
      </c>
      <c r="U131" s="270">
        <v>0.01</v>
      </c>
      <c r="X131" s="346">
        <v>132.6729708</v>
      </c>
      <c r="Y131" s="344">
        <v>30.532945199999997</v>
      </c>
    </row>
    <row r="132" spans="2:25" ht="17.399999999999999" thickTop="1" thickBot="1">
      <c r="B132" s="216">
        <v>12.6</v>
      </c>
      <c r="P132" s="342">
        <v>33.569801999999996</v>
      </c>
      <c r="Q132" s="343">
        <v>6.545992319999999</v>
      </c>
      <c r="R132" s="343">
        <v>2.2869219240000001</v>
      </c>
      <c r="S132" s="343">
        <v>0.79727684399999998</v>
      </c>
      <c r="T132" s="270">
        <v>7.0000000000000007E-2</v>
      </c>
      <c r="U132" s="270">
        <v>0.01</v>
      </c>
      <c r="X132" s="346">
        <v>135.07643482559999</v>
      </c>
      <c r="Y132" s="344">
        <v>31.205717779199997</v>
      </c>
    </row>
    <row r="133" spans="2:25" ht="17.399999999999999" thickTop="1" thickBot="1">
      <c r="B133" s="103">
        <v>12.7</v>
      </c>
      <c r="P133" s="342">
        <v>34.104770500000001</v>
      </c>
      <c r="Q133" s="343">
        <v>6.6503092799999992</v>
      </c>
      <c r="R133" s="343">
        <v>2.323366321</v>
      </c>
      <c r="S133" s="343">
        <v>0.80998225099999999</v>
      </c>
      <c r="T133" s="270">
        <v>0.08</v>
      </c>
      <c r="U133" s="270">
        <v>0.01</v>
      </c>
      <c r="X133" s="346">
        <v>137.50570860479999</v>
      </c>
      <c r="Y133" s="344">
        <v>31.888704393600001</v>
      </c>
    </row>
    <row r="134" spans="2:25" ht="17.399999999999999" thickTop="1" thickBot="1">
      <c r="B134" s="216">
        <v>12.8</v>
      </c>
      <c r="P134" s="342">
        <v>34.643968000000008</v>
      </c>
      <c r="Q134" s="343">
        <v>6.7554508800000006</v>
      </c>
      <c r="R134" s="343">
        <v>2.3600988160000003</v>
      </c>
      <c r="S134" s="343">
        <v>0.82278809600000014</v>
      </c>
      <c r="T134" s="270">
        <v>0.08</v>
      </c>
      <c r="U134" s="270">
        <v>0.01</v>
      </c>
      <c r="X134" s="346">
        <v>139.96089789120001</v>
      </c>
      <c r="Y134" s="344">
        <v>32.5819843584</v>
      </c>
    </row>
    <row r="135" spans="2:25" ht="17.399999999999999" thickTop="1" thickBot="1">
      <c r="B135" s="103">
        <v>12.9</v>
      </c>
      <c r="P135" s="342">
        <v>35.187394499999996</v>
      </c>
      <c r="Q135" s="343">
        <v>6.8614171199999996</v>
      </c>
      <c r="R135" s="343">
        <v>2.3971194090000001</v>
      </c>
      <c r="S135" s="343">
        <v>0.83569437899999999</v>
      </c>
      <c r="T135" s="270">
        <v>0.08</v>
      </c>
      <c r="U135" s="270">
        <v>0.01</v>
      </c>
      <c r="X135" s="346">
        <v>142.44210843839997</v>
      </c>
      <c r="Y135" s="344">
        <v>33.285636988799993</v>
      </c>
    </row>
    <row r="136" spans="2:25" ht="17.399999999999999" thickTop="1" thickBot="1">
      <c r="B136" s="216">
        <v>13</v>
      </c>
      <c r="P136" s="342">
        <v>35.735050000000001</v>
      </c>
      <c r="Q136" s="343">
        <v>6.9682079999999997</v>
      </c>
      <c r="R136" s="343">
        <v>2.4344280999999999</v>
      </c>
      <c r="S136" s="343">
        <v>0.84870109999999999</v>
      </c>
      <c r="T136" s="270">
        <v>0.08</v>
      </c>
      <c r="U136" s="270">
        <v>0.01</v>
      </c>
      <c r="X136" s="346">
        <v>144.94944599999997</v>
      </c>
      <c r="Y136" s="344">
        <v>33.9997416</v>
      </c>
    </row>
    <row r="137" spans="2:25" ht="17.399999999999999" thickTop="1" thickBot="1">
      <c r="B137" s="103">
        <v>13.1</v>
      </c>
      <c r="P137" s="342">
        <v>36.286934499999994</v>
      </c>
      <c r="Q137" s="343">
        <v>7.0758235199999993</v>
      </c>
      <c r="R137" s="343">
        <v>2.4720248889999996</v>
      </c>
      <c r="S137" s="343">
        <v>0.86180825899999991</v>
      </c>
      <c r="T137" s="270">
        <v>0.08</v>
      </c>
      <c r="U137" s="270">
        <v>0.01</v>
      </c>
      <c r="X137" s="346">
        <v>147.48301632959996</v>
      </c>
      <c r="Y137" s="344">
        <v>34.724377507199996</v>
      </c>
    </row>
    <row r="138" spans="2:25" ht="17.399999999999999" thickTop="1" thickBot="1">
      <c r="B138" s="216">
        <v>13.2</v>
      </c>
      <c r="P138" s="342">
        <v>36.843047999999996</v>
      </c>
      <c r="Q138" s="343">
        <v>7.184263679999999</v>
      </c>
      <c r="R138" s="343">
        <v>2.5099097759999998</v>
      </c>
      <c r="S138" s="343">
        <v>0.87501585599999998</v>
      </c>
      <c r="T138" s="270">
        <v>0.08</v>
      </c>
      <c r="U138" s="270">
        <v>0.01</v>
      </c>
      <c r="X138" s="346">
        <v>150.04292518079998</v>
      </c>
      <c r="Y138" s="344">
        <v>35.4596240256</v>
      </c>
    </row>
    <row r="139" spans="2:25" ht="17.399999999999999" thickTop="1" thickBot="1">
      <c r="B139" s="103">
        <v>13.3</v>
      </c>
      <c r="P139" s="342">
        <v>37.4033905</v>
      </c>
      <c r="Q139" s="343">
        <v>7.29352848</v>
      </c>
      <c r="R139" s="343">
        <v>2.5480827610000003</v>
      </c>
      <c r="S139" s="343">
        <v>0.88832389100000009</v>
      </c>
      <c r="T139" s="270">
        <v>0.08</v>
      </c>
      <c r="U139" s="270">
        <v>0.01</v>
      </c>
      <c r="X139" s="346">
        <v>152.62927830719997</v>
      </c>
      <c r="Y139" s="344">
        <v>36.205560470399995</v>
      </c>
    </row>
    <row r="140" spans="2:25" ht="17.399999999999999" thickTop="1" thickBot="1">
      <c r="B140" s="216">
        <v>13.4</v>
      </c>
      <c r="P140" s="342">
        <v>37.967962</v>
      </c>
      <c r="Q140" s="343">
        <v>7.4036179199999994</v>
      </c>
      <c r="R140" s="343">
        <v>2.5865438439999999</v>
      </c>
      <c r="S140" s="343">
        <v>0.90173236400000001</v>
      </c>
      <c r="T140" s="270">
        <v>0.08</v>
      </c>
      <c r="U140" s="270">
        <v>0.01</v>
      </c>
      <c r="X140" s="346">
        <v>155.24218146239997</v>
      </c>
      <c r="Y140" s="344">
        <v>36.962266156799998</v>
      </c>
    </row>
    <row r="141" spans="2:25" ht="17.399999999999999" thickTop="1" thickBot="1">
      <c r="B141" s="103">
        <v>13.5</v>
      </c>
      <c r="P141" s="342">
        <v>38.536762500000002</v>
      </c>
      <c r="Q141" s="343">
        <v>7.514532</v>
      </c>
      <c r="R141" s="343">
        <v>2.6252930249999999</v>
      </c>
      <c r="S141" s="343">
        <v>0.91524127500000008</v>
      </c>
      <c r="T141" s="270">
        <v>0.09</v>
      </c>
      <c r="U141" s="270">
        <v>0.01</v>
      </c>
      <c r="X141" s="346">
        <v>157.88174039999996</v>
      </c>
      <c r="Y141" s="344">
        <v>37.729820399999994</v>
      </c>
    </row>
    <row r="142" spans="2:25" ht="17.399999999999999" thickTop="1" thickBot="1">
      <c r="B142" s="216">
        <v>13.6</v>
      </c>
      <c r="P142" s="342">
        <v>39.109791999999999</v>
      </c>
      <c r="Q142" s="343">
        <v>7.6262707199999991</v>
      </c>
      <c r="R142" s="343">
        <v>2.6643303039999995</v>
      </c>
      <c r="S142" s="343">
        <v>0.92885062399999996</v>
      </c>
      <c r="T142" s="270">
        <v>0.09</v>
      </c>
      <c r="U142" s="270">
        <v>0.01</v>
      </c>
      <c r="X142" s="346">
        <v>160.54806087359998</v>
      </c>
      <c r="Y142" s="344">
        <v>38.5083025152</v>
      </c>
    </row>
    <row r="143" spans="2:25" ht="17.399999999999999" thickTop="1" thickBot="1">
      <c r="B143" s="103">
        <v>13.7</v>
      </c>
      <c r="P143" s="342">
        <v>39.687050499999991</v>
      </c>
      <c r="Q143" s="343">
        <v>7.7388340799999984</v>
      </c>
      <c r="R143" s="343">
        <v>2.7036556809999994</v>
      </c>
      <c r="S143" s="343">
        <v>0.94256041099999988</v>
      </c>
      <c r="T143" s="270">
        <v>0.09</v>
      </c>
      <c r="U143" s="270">
        <v>0.01</v>
      </c>
      <c r="X143" s="346">
        <v>163.24124863679995</v>
      </c>
      <c r="Y143" s="344">
        <v>39.297791817599993</v>
      </c>
    </row>
    <row r="144" spans="2:25" ht="17.399999999999999" thickTop="1" thickBot="1">
      <c r="B144" s="216">
        <v>13.8</v>
      </c>
      <c r="P144" s="342">
        <v>40.268538000000007</v>
      </c>
      <c r="Q144" s="343">
        <v>7.8522220800000007</v>
      </c>
      <c r="R144" s="343">
        <v>2.7432691560000002</v>
      </c>
      <c r="S144" s="343">
        <v>0.95637063600000016</v>
      </c>
      <c r="T144" s="270">
        <v>0.09</v>
      </c>
      <c r="U144" s="270">
        <v>0.01</v>
      </c>
      <c r="X144" s="346">
        <v>165.96140944319995</v>
      </c>
      <c r="Y144" s="344">
        <v>40.098367622399998</v>
      </c>
    </row>
    <row r="145" spans="2:25" ht="17.399999999999999" thickTop="1" thickBot="1">
      <c r="B145" s="103">
        <v>13.9</v>
      </c>
      <c r="P145" s="342">
        <v>40.854254500000003</v>
      </c>
      <c r="Q145" s="343">
        <v>7.9664347199999996</v>
      </c>
      <c r="R145" s="343">
        <v>2.7831707290000001</v>
      </c>
      <c r="S145" s="343">
        <v>0.97028129900000004</v>
      </c>
      <c r="T145" s="270">
        <v>0.09</v>
      </c>
      <c r="U145" s="270">
        <v>0.01</v>
      </c>
      <c r="X145" s="346">
        <v>168.70864904639998</v>
      </c>
      <c r="Y145" s="344">
        <v>40.910109244799997</v>
      </c>
    </row>
    <row r="146" spans="2:25" ht="17.399999999999999" thickTop="1" thickBot="1">
      <c r="B146" s="216">
        <v>14</v>
      </c>
      <c r="P146" s="342">
        <v>41.444200000000002</v>
      </c>
      <c r="Q146" s="343">
        <v>8.0814719999999998</v>
      </c>
      <c r="R146" s="343">
        <v>2.8233603999999999</v>
      </c>
      <c r="S146" s="343">
        <v>0.98429240000000007</v>
      </c>
      <c r="T146" s="270">
        <v>0.09</v>
      </c>
      <c r="U146" s="270">
        <v>0.01</v>
      </c>
      <c r="X146" s="346">
        <v>171.48307319999998</v>
      </c>
      <c r="Y146" s="344">
        <v>41.733095999999996</v>
      </c>
    </row>
    <row r="147" spans="2:25" ht="17.399999999999999" thickTop="1" thickBot="1">
      <c r="B147" s="103">
        <v>14.1</v>
      </c>
      <c r="P147" s="342">
        <v>42.038374500000003</v>
      </c>
      <c r="Q147" s="343">
        <v>8.1973339200000002</v>
      </c>
      <c r="R147" s="343">
        <v>2.8638381690000001</v>
      </c>
      <c r="S147" s="343">
        <v>0.99840393900000002</v>
      </c>
      <c r="T147" s="270">
        <v>0.09</v>
      </c>
      <c r="U147" s="270">
        <v>0.01</v>
      </c>
      <c r="X147" s="346">
        <v>174.28478765759996</v>
      </c>
      <c r="Y147" s="344">
        <v>42.567407203199991</v>
      </c>
    </row>
    <row r="148" spans="2:25" ht="17.399999999999999" thickTop="1" thickBot="1">
      <c r="B148" s="216">
        <v>14.2</v>
      </c>
      <c r="P148" s="342">
        <v>42.636778</v>
      </c>
      <c r="Q148" s="343">
        <v>8.3140204799999982</v>
      </c>
      <c r="R148" s="343">
        <v>2.9046040359999998</v>
      </c>
      <c r="S148" s="343">
        <v>1.0126159159999999</v>
      </c>
      <c r="T148" s="270">
        <v>0.09</v>
      </c>
      <c r="U148" s="270">
        <v>0.01</v>
      </c>
      <c r="X148" s="346">
        <v>177.11389817279996</v>
      </c>
      <c r="Y148" s="344">
        <v>43.413122169599994</v>
      </c>
    </row>
    <row r="149" spans="2:25" ht="17.399999999999999" thickTop="1" thickBot="1">
      <c r="B149" s="103">
        <v>14.3</v>
      </c>
      <c r="P149" s="342">
        <v>43.239410499999998</v>
      </c>
      <c r="Q149" s="343">
        <v>8.4315316799999991</v>
      </c>
      <c r="R149" s="343">
        <v>2.945658001</v>
      </c>
      <c r="S149" s="343">
        <v>1.0269283310000001</v>
      </c>
      <c r="T149" s="270">
        <v>0.1</v>
      </c>
      <c r="U149" s="270">
        <v>0.01</v>
      </c>
      <c r="X149" s="346">
        <v>179.97051049919995</v>
      </c>
      <c r="Y149" s="344">
        <v>44.270320214399995</v>
      </c>
    </row>
    <row r="150" spans="2:25" ht="17.399999999999999" thickTop="1" thickBot="1">
      <c r="B150" s="216">
        <v>14.4</v>
      </c>
      <c r="P150" s="342">
        <v>43.846272000000006</v>
      </c>
      <c r="Q150" s="343">
        <v>8.5498675199999994</v>
      </c>
      <c r="R150" s="343">
        <v>2.9870000640000001</v>
      </c>
      <c r="S150" s="343">
        <v>1.0413411840000002</v>
      </c>
      <c r="T150" s="270">
        <v>0.1</v>
      </c>
      <c r="U150" s="270">
        <v>0.01</v>
      </c>
      <c r="X150" s="346">
        <v>182.85473039039996</v>
      </c>
      <c r="Y150" s="344">
        <v>45.139080652799997</v>
      </c>
    </row>
    <row r="151" spans="2:25" ht="17.399999999999999" thickTop="1" thickBot="1">
      <c r="B151" s="103">
        <v>14.5</v>
      </c>
      <c r="P151" s="342">
        <v>44.457362500000002</v>
      </c>
      <c r="Q151" s="343">
        <v>8.6690279999999991</v>
      </c>
      <c r="R151" s="343">
        <v>3.0286302250000001</v>
      </c>
      <c r="S151" s="343">
        <v>1.0558544750000001</v>
      </c>
      <c r="T151" s="270">
        <v>0.1</v>
      </c>
      <c r="U151" s="270">
        <v>0.01</v>
      </c>
      <c r="X151" s="346">
        <v>185.76666359999999</v>
      </c>
      <c r="Y151" s="344">
        <v>46.019482799999992</v>
      </c>
    </row>
    <row r="152" spans="2:25" ht="17.399999999999999" thickTop="1" thickBot="1">
      <c r="B152" s="216">
        <v>14.6</v>
      </c>
      <c r="P152" s="342">
        <v>45.072682</v>
      </c>
      <c r="Q152" s="343">
        <v>8.7890131199999999</v>
      </c>
      <c r="R152" s="343">
        <v>3.0705484840000001</v>
      </c>
      <c r="S152" s="343">
        <v>1.070468204</v>
      </c>
      <c r="T152" s="270">
        <v>0.1</v>
      </c>
      <c r="U152" s="270">
        <v>0.01</v>
      </c>
      <c r="X152" s="346">
        <v>188.70641588159998</v>
      </c>
      <c r="Y152" s="344">
        <v>46.911605971199997</v>
      </c>
    </row>
    <row r="153" spans="2:25" ht="17.399999999999999" thickTop="1" thickBot="1">
      <c r="B153" s="103">
        <v>14.7</v>
      </c>
      <c r="P153" s="342">
        <v>45.692230499999994</v>
      </c>
      <c r="Q153" s="343">
        <v>8.9098228799999983</v>
      </c>
      <c r="R153" s="343">
        <v>3.1127548409999997</v>
      </c>
      <c r="S153" s="343">
        <v>1.0851823709999999</v>
      </c>
      <c r="T153" s="270">
        <v>0.1</v>
      </c>
      <c r="U153" s="270">
        <v>0.01</v>
      </c>
      <c r="X153" s="346">
        <v>191.67409298879997</v>
      </c>
      <c r="Y153" s="344">
        <v>47.815529481599995</v>
      </c>
    </row>
    <row r="154" spans="2:25" ht="17.399999999999999" thickTop="1" thickBot="1">
      <c r="B154" s="216">
        <v>14.8</v>
      </c>
      <c r="C154" s="232"/>
      <c r="D154" s="233"/>
      <c r="P154" s="342">
        <v>46.316008000000004</v>
      </c>
      <c r="Q154" s="343">
        <v>9.0314572799999997</v>
      </c>
      <c r="R154" s="343">
        <v>3.1552492960000005</v>
      </c>
      <c r="S154" s="343">
        <v>1.0999969760000001</v>
      </c>
      <c r="T154" s="270">
        <v>0.1</v>
      </c>
      <c r="U154" s="270">
        <v>0.01</v>
      </c>
      <c r="X154" s="346">
        <v>194.66980067519995</v>
      </c>
      <c r="Y154" s="344">
        <v>48.731332646399991</v>
      </c>
    </row>
    <row r="155" spans="2:25" ht="17.399999999999999" thickTop="1" thickBot="1">
      <c r="B155" s="103">
        <v>14.9</v>
      </c>
      <c r="C155" s="232"/>
      <c r="D155" s="233"/>
      <c r="P155" s="342">
        <v>46.944014500000002</v>
      </c>
      <c r="Q155" s="343">
        <v>9.1539163200000004</v>
      </c>
      <c r="R155" s="343">
        <v>3.1980318490000004</v>
      </c>
      <c r="S155" s="343">
        <v>1.1149120190000001</v>
      </c>
      <c r="T155" s="270">
        <v>0.1</v>
      </c>
      <c r="U155" s="270">
        <v>0.01</v>
      </c>
      <c r="X155" s="346">
        <v>197.69364469439998</v>
      </c>
      <c r="Y155" s="344">
        <v>49.659094780799997</v>
      </c>
    </row>
    <row r="156" spans="2:25" ht="17.399999999999999" thickTop="1" thickBot="1">
      <c r="B156" s="216">
        <v>15</v>
      </c>
      <c r="C156" s="232"/>
      <c r="D156" s="233"/>
      <c r="P156" s="342">
        <v>47.576250000000002</v>
      </c>
      <c r="Q156" s="343">
        <v>9.2771999999999988</v>
      </c>
      <c r="R156" s="343">
        <v>3.2411025000000002</v>
      </c>
      <c r="S156" s="343">
        <v>1.1299275</v>
      </c>
      <c r="T156" s="270">
        <v>0.11</v>
      </c>
      <c r="U156" s="270">
        <v>0.01</v>
      </c>
      <c r="X156" s="346">
        <v>200.74573079999996</v>
      </c>
      <c r="Y156" s="344">
        <v>50.598895199999994</v>
      </c>
    </row>
    <row r="157" spans="2:25" ht="17.399999999999999" thickTop="1" thickBot="1">
      <c r="B157" s="103">
        <v>15.1</v>
      </c>
      <c r="C157" s="232"/>
      <c r="D157" s="234"/>
      <c r="P157" s="342">
        <v>48.212714499999997</v>
      </c>
      <c r="Q157" s="343">
        <v>9.4013083199999983</v>
      </c>
      <c r="R157" s="343">
        <v>3.284461249</v>
      </c>
      <c r="S157" s="343">
        <v>1.1450434190000001</v>
      </c>
      <c r="T157" s="270">
        <v>0.11</v>
      </c>
      <c r="U157" s="270">
        <v>0.01</v>
      </c>
      <c r="X157" s="346">
        <v>203.82616474559998</v>
      </c>
      <c r="Y157" s="344">
        <v>51.550813219199995</v>
      </c>
    </row>
    <row r="158" spans="2:25" ht="17.399999999999999" thickTop="1" thickBot="1">
      <c r="B158" s="216">
        <v>15.2</v>
      </c>
      <c r="C158" s="232"/>
      <c r="D158" s="234"/>
      <c r="P158" s="342">
        <v>48.853407999999995</v>
      </c>
      <c r="Q158" s="343">
        <v>9.5262412799999989</v>
      </c>
      <c r="R158" s="343">
        <v>3.3281080959999998</v>
      </c>
      <c r="S158" s="343">
        <v>1.160259776</v>
      </c>
      <c r="T158" s="270">
        <v>0.11</v>
      </c>
      <c r="U158" s="270">
        <v>0.01</v>
      </c>
      <c r="X158" s="346">
        <v>206.93505228479995</v>
      </c>
      <c r="Y158" s="344">
        <v>52.514928153599996</v>
      </c>
    </row>
    <row r="159" spans="2:25" ht="17.399999999999999" thickTop="1" thickBot="1">
      <c r="B159" s="103">
        <v>15.3</v>
      </c>
      <c r="C159" s="232"/>
      <c r="D159" s="234"/>
      <c r="P159" s="342">
        <v>49.498330500000009</v>
      </c>
      <c r="Q159" s="343">
        <v>9.6519988800000007</v>
      </c>
      <c r="R159" s="343">
        <v>3.3720430410000004</v>
      </c>
      <c r="S159" s="343">
        <v>1.1755765710000001</v>
      </c>
      <c r="T159" s="270">
        <v>0.11</v>
      </c>
      <c r="U159" s="270">
        <v>0.01</v>
      </c>
      <c r="X159" s="346">
        <v>210.07249917119995</v>
      </c>
      <c r="Y159" s="344">
        <v>53.491319318399995</v>
      </c>
    </row>
    <row r="160" spans="2:25" ht="17.399999999999999" thickTop="1" thickBot="1">
      <c r="B160" s="216">
        <v>15.4</v>
      </c>
      <c r="C160" s="232"/>
      <c r="D160" s="234"/>
      <c r="P160" s="342">
        <v>50.147482000000004</v>
      </c>
      <c r="Q160" s="343">
        <v>9.7785811200000001</v>
      </c>
      <c r="R160" s="343">
        <v>3.4162660840000005</v>
      </c>
      <c r="S160" s="343">
        <v>1.1909938040000001</v>
      </c>
      <c r="T160" s="270">
        <v>0.11</v>
      </c>
      <c r="U160" s="270">
        <v>0.01</v>
      </c>
      <c r="X160" s="346">
        <v>213.23861115839995</v>
      </c>
      <c r="Y160" s="344">
        <v>54.480066028799982</v>
      </c>
    </row>
    <row r="161" spans="2:25" ht="17.399999999999999" thickTop="1" thickBot="1">
      <c r="B161" s="103">
        <v>15.5</v>
      </c>
      <c r="C161" s="232"/>
      <c r="D161" s="234"/>
      <c r="P161" s="342">
        <v>50.800862500000001</v>
      </c>
      <c r="Q161" s="343">
        <v>9.9059879999999989</v>
      </c>
      <c r="R161" s="343">
        <v>3.4607772250000002</v>
      </c>
      <c r="S161" s="343">
        <v>1.2065114750000001</v>
      </c>
      <c r="T161" s="270">
        <v>0.11</v>
      </c>
      <c r="U161" s="270">
        <v>0.01</v>
      </c>
      <c r="X161" s="346">
        <v>216.43349399999997</v>
      </c>
      <c r="Y161" s="344">
        <v>55.481247599999989</v>
      </c>
    </row>
    <row r="162" spans="2:25" ht="17.399999999999999" thickTop="1" thickBot="1">
      <c r="B162" s="216">
        <v>15.6</v>
      </c>
      <c r="C162" s="232"/>
      <c r="D162" s="234"/>
      <c r="P162" s="342">
        <v>51.458471999999993</v>
      </c>
      <c r="Q162" s="343">
        <v>10.034219519999999</v>
      </c>
      <c r="R162" s="343">
        <v>3.5055764639999998</v>
      </c>
      <c r="S162" s="343">
        <v>1.2221295839999999</v>
      </c>
      <c r="T162" s="270">
        <v>0.11</v>
      </c>
      <c r="U162" s="270">
        <v>0.01</v>
      </c>
      <c r="X162" s="346">
        <v>219.65725344959998</v>
      </c>
      <c r="Y162" s="344">
        <v>56.494943347199985</v>
      </c>
    </row>
    <row r="163" spans="2:25" ht="17.399999999999999" thickTop="1" thickBot="1">
      <c r="B163" s="103">
        <v>15.7</v>
      </c>
      <c r="D163" s="233"/>
      <c r="P163" s="342">
        <v>52.120310499999995</v>
      </c>
      <c r="Q163" s="343">
        <v>10.163275679999998</v>
      </c>
      <c r="R163" s="343">
        <v>3.5506638009999998</v>
      </c>
      <c r="S163" s="343">
        <v>1.237848131</v>
      </c>
      <c r="T163" s="270">
        <v>0.12</v>
      </c>
      <c r="U163" s="270">
        <v>0.01</v>
      </c>
      <c r="X163" s="346">
        <v>222.90999526079995</v>
      </c>
      <c r="Y163" s="344">
        <v>57.521232585599982</v>
      </c>
    </row>
    <row r="164" spans="2:25" ht="17.399999999999999" thickTop="1" thickBot="1">
      <c r="B164" s="216">
        <v>15.8</v>
      </c>
      <c r="D164" s="233"/>
      <c r="P164" s="342">
        <v>52.786378000000006</v>
      </c>
      <c r="Q164" s="343">
        <v>10.29315648</v>
      </c>
      <c r="R164" s="343">
        <v>3.5960392360000002</v>
      </c>
      <c r="S164" s="343">
        <v>1.2536671160000001</v>
      </c>
      <c r="T164" s="270">
        <v>0.12</v>
      </c>
      <c r="U164" s="270">
        <v>0.01</v>
      </c>
      <c r="X164" s="346">
        <v>226.19182518719995</v>
      </c>
      <c r="Y164" s="344">
        <v>58.560194630399998</v>
      </c>
    </row>
    <row r="165" spans="2:25" ht="17.399999999999999" thickTop="1" thickBot="1">
      <c r="B165" s="103">
        <v>15.9</v>
      </c>
      <c r="D165" s="233"/>
      <c r="P165" s="342">
        <v>53.456674499999998</v>
      </c>
      <c r="Q165" s="343">
        <v>10.42386192</v>
      </c>
      <c r="R165" s="343">
        <v>3.6417027690000001</v>
      </c>
      <c r="S165" s="343">
        <v>1.2695865390000001</v>
      </c>
      <c r="T165" s="270">
        <v>0.12</v>
      </c>
      <c r="U165" s="270">
        <v>0.01</v>
      </c>
      <c r="X165" s="346">
        <v>229.50284898239997</v>
      </c>
      <c r="Y165" s="344">
        <v>59.61190879679998</v>
      </c>
    </row>
    <row r="166" spans="2:25" ht="17.399999999999999" thickTop="1" thickBot="1">
      <c r="B166" s="216">
        <v>16</v>
      </c>
      <c r="D166" s="234"/>
      <c r="P166" s="342">
        <v>54.1312</v>
      </c>
      <c r="Q166" s="343">
        <v>10.555391999999999</v>
      </c>
      <c r="R166" s="343">
        <v>3.6876544</v>
      </c>
      <c r="S166" s="343">
        <v>1.2856064</v>
      </c>
      <c r="T166" s="270">
        <v>0.12</v>
      </c>
      <c r="U166" s="270">
        <v>0.01</v>
      </c>
      <c r="X166" s="346">
        <v>232.84317239999996</v>
      </c>
      <c r="Y166" s="344">
        <v>60.67645439999999</v>
      </c>
    </row>
    <row r="167" spans="2:25" ht="17.399999999999999" thickTop="1" thickBot="1">
      <c r="B167" s="103">
        <v>16.100000000000001</v>
      </c>
      <c r="D167" s="234"/>
      <c r="P167" s="342">
        <v>54.809954500000011</v>
      </c>
      <c r="Q167" s="343">
        <v>10.687746720000002</v>
      </c>
      <c r="R167" s="343">
        <v>3.7338941290000007</v>
      </c>
      <c r="S167" s="343">
        <v>1.3017266990000003</v>
      </c>
      <c r="T167" s="270">
        <v>0.12</v>
      </c>
      <c r="U167" s="270">
        <v>0.01</v>
      </c>
      <c r="X167" s="346">
        <v>236.21290119360003</v>
      </c>
      <c r="Y167" s="344">
        <v>61.753910755200017</v>
      </c>
    </row>
    <row r="168" spans="2:25" ht="17.399999999999999" thickTop="1" thickBot="1">
      <c r="B168" s="216">
        <v>16.2</v>
      </c>
      <c r="D168" s="234"/>
      <c r="P168" s="342">
        <v>55.492938000000002</v>
      </c>
      <c r="Q168" s="343">
        <v>10.82092608</v>
      </c>
      <c r="R168" s="343">
        <v>3.7804219560000001</v>
      </c>
      <c r="S168" s="343">
        <v>1.3179474360000001</v>
      </c>
      <c r="T168" s="270">
        <v>0.12</v>
      </c>
      <c r="U168" s="270">
        <v>0.01</v>
      </c>
      <c r="X168" s="346">
        <v>239.61214111679996</v>
      </c>
      <c r="Y168" s="344">
        <v>62.844357177599989</v>
      </c>
    </row>
    <row r="169" spans="2:25" ht="17.399999999999999" thickTop="1" thickBot="1">
      <c r="B169" s="103">
        <v>16.3</v>
      </c>
      <c r="D169" s="234"/>
      <c r="P169" s="342">
        <v>56.180150499999996</v>
      </c>
      <c r="Q169" s="343">
        <v>10.954930079999999</v>
      </c>
      <c r="R169" s="343">
        <v>3.8272378809999998</v>
      </c>
      <c r="S169" s="343">
        <v>1.3342686109999999</v>
      </c>
      <c r="T169" s="270">
        <v>0.12</v>
      </c>
      <c r="U169" s="270">
        <v>0.01</v>
      </c>
      <c r="X169" s="346">
        <v>243.04099792319997</v>
      </c>
      <c r="Y169" s="344">
        <v>63.947872982399986</v>
      </c>
    </row>
    <row r="170" spans="2:25" ht="17.399999999999999" thickTop="1" thickBot="1">
      <c r="B170" s="216">
        <v>16.399999999999999</v>
      </c>
      <c r="D170" s="234"/>
      <c r="P170" s="342">
        <v>56.871591999999993</v>
      </c>
      <c r="Q170" s="343">
        <v>11.089758719999999</v>
      </c>
      <c r="R170" s="343">
        <v>3.8743419039999996</v>
      </c>
      <c r="S170" s="343">
        <v>1.3506902239999998</v>
      </c>
      <c r="T170" s="270">
        <v>0.13</v>
      </c>
      <c r="U170" s="270">
        <v>0.01</v>
      </c>
      <c r="X170" s="346">
        <v>246.4995773663999</v>
      </c>
      <c r="Y170" s="344">
        <v>65.064537484799985</v>
      </c>
    </row>
    <row r="171" spans="2:25" ht="17.399999999999999" thickTop="1" thickBot="1">
      <c r="B171" s="103">
        <v>16.5</v>
      </c>
      <c r="D171" s="234"/>
      <c r="P171" s="342">
        <v>57.567262499999998</v>
      </c>
      <c r="Q171" s="343">
        <v>11.225411999999999</v>
      </c>
      <c r="R171" s="343">
        <v>3.9217340250000001</v>
      </c>
      <c r="S171" s="343">
        <v>1.367212275</v>
      </c>
      <c r="T171" s="270">
        <v>0.13</v>
      </c>
      <c r="U171" s="270">
        <v>0.01</v>
      </c>
      <c r="X171" s="346">
        <v>249.98798519999997</v>
      </c>
      <c r="Y171" s="344">
        <v>66.194429999999983</v>
      </c>
    </row>
    <row r="172" spans="2:25" ht="17.399999999999999" thickTop="1" thickBot="1">
      <c r="B172" s="216">
        <v>16.600000000000001</v>
      </c>
      <c r="P172" s="342">
        <v>58.267162000000013</v>
      </c>
      <c r="Q172" s="343">
        <v>11.361889920000001</v>
      </c>
      <c r="R172" s="343">
        <v>3.9694142440000006</v>
      </c>
      <c r="S172" s="343">
        <v>1.3838347640000004</v>
      </c>
      <c r="T172" s="270">
        <v>0.13</v>
      </c>
      <c r="U172" s="270">
        <v>0.01</v>
      </c>
      <c r="X172" s="346">
        <v>253.50632717760004</v>
      </c>
      <c r="Y172" s="344">
        <v>67.33762984320002</v>
      </c>
    </row>
    <row r="173" spans="2:25" ht="17.399999999999999" thickTop="1" thickBot="1">
      <c r="B173" s="103">
        <v>16.7</v>
      </c>
      <c r="P173" s="342">
        <v>58.971290499999995</v>
      </c>
      <c r="Q173" s="343">
        <v>11.49919248</v>
      </c>
      <c r="R173" s="343">
        <v>4.0173825609999998</v>
      </c>
      <c r="S173" s="343">
        <v>1.4005576909999999</v>
      </c>
      <c r="T173" s="270">
        <v>0.13</v>
      </c>
      <c r="U173" s="270">
        <v>0.01</v>
      </c>
      <c r="X173" s="346">
        <v>257.05470905279998</v>
      </c>
      <c r="Y173" s="344">
        <v>68.494216329599993</v>
      </c>
    </row>
    <row r="174" spans="2:25" ht="17.399999999999999" thickTop="1" thickBot="1">
      <c r="B174" s="216">
        <v>16.8</v>
      </c>
      <c r="P174" s="342">
        <v>59.679648</v>
      </c>
      <c r="Q174" s="343">
        <v>11.637319679999999</v>
      </c>
      <c r="R174" s="343">
        <v>4.0656389759999998</v>
      </c>
      <c r="S174" s="343">
        <v>1.4173810560000002</v>
      </c>
      <c r="T174" s="270">
        <v>0.13</v>
      </c>
      <c r="U174" s="270">
        <v>0.01</v>
      </c>
      <c r="X174" s="346">
        <v>260.63323657919995</v>
      </c>
      <c r="Y174" s="344">
        <v>69.6642687744</v>
      </c>
    </row>
    <row r="175" spans="2:25" ht="17.399999999999999" thickTop="1" thickBot="1">
      <c r="B175" s="103">
        <v>16.899999999999999</v>
      </c>
      <c r="P175" s="342">
        <v>60.392234499999994</v>
      </c>
      <c r="Q175" s="343">
        <v>11.776271519999998</v>
      </c>
      <c r="R175" s="343">
        <v>4.1141834889999993</v>
      </c>
      <c r="S175" s="343">
        <v>1.4343048589999998</v>
      </c>
      <c r="T175" s="270">
        <v>0.13</v>
      </c>
      <c r="U175" s="270">
        <v>0.01</v>
      </c>
      <c r="X175" s="346">
        <v>264.24201551039988</v>
      </c>
      <c r="Y175" s="344">
        <v>70.847866492799966</v>
      </c>
    </row>
    <row r="176" spans="2:25" ht="17.399999999999999" thickTop="1" thickBot="1">
      <c r="B176" s="216">
        <v>17</v>
      </c>
      <c r="P176" s="342">
        <v>61.109049999999996</v>
      </c>
      <c r="Q176" s="343">
        <v>11.916048</v>
      </c>
      <c r="R176" s="343">
        <v>4.1630161000000001</v>
      </c>
      <c r="S176" s="343">
        <v>1.4513291000000001</v>
      </c>
      <c r="T176" s="270">
        <v>0.14000000000000001</v>
      </c>
      <c r="U176" s="270">
        <v>0.01</v>
      </c>
      <c r="X176" s="346">
        <v>267.88115159999995</v>
      </c>
      <c r="Y176" s="344">
        <v>72.045088799999974</v>
      </c>
    </row>
    <row r="177" spans="2:25" ht="17.399999999999999" thickTop="1" thickBot="1">
      <c r="B177" s="103">
        <v>17.100000000000001</v>
      </c>
      <c r="P177" s="342">
        <v>61.830094500000008</v>
      </c>
      <c r="Q177" s="343">
        <v>12.056649120000001</v>
      </c>
      <c r="R177" s="343">
        <v>4.2121368090000004</v>
      </c>
      <c r="S177" s="343">
        <v>1.4684537790000001</v>
      </c>
      <c r="T177" s="270">
        <v>0.14000000000000001</v>
      </c>
      <c r="U177" s="270">
        <v>0.01</v>
      </c>
      <c r="X177" s="346">
        <v>271.55075060159993</v>
      </c>
      <c r="Y177" s="344">
        <v>73.256015011199992</v>
      </c>
    </row>
    <row r="178" spans="2:25" ht="17.399999999999999" thickTop="1" thickBot="1">
      <c r="B178" s="216">
        <v>17.2</v>
      </c>
      <c r="P178" s="342">
        <v>62.555367999999994</v>
      </c>
      <c r="Q178" s="343">
        <v>12.198074879999998</v>
      </c>
      <c r="R178" s="343">
        <v>4.2615456159999994</v>
      </c>
      <c r="S178" s="343">
        <v>1.485678896</v>
      </c>
      <c r="T178" s="270">
        <v>0.14000000000000001</v>
      </c>
      <c r="U178" s="270">
        <v>0.01</v>
      </c>
      <c r="X178" s="346">
        <v>275.25091826879998</v>
      </c>
      <c r="Y178" s="344">
        <v>74.480724441599989</v>
      </c>
    </row>
    <row r="179" spans="2:25" ht="17.399999999999999" thickTop="1" thickBot="1">
      <c r="B179" s="103">
        <v>17.3</v>
      </c>
      <c r="P179" s="342">
        <v>63.284870500000004</v>
      </c>
      <c r="Q179" s="343">
        <v>12.34032528</v>
      </c>
      <c r="R179" s="343">
        <v>4.3112425210000005</v>
      </c>
      <c r="S179" s="343">
        <v>1.5030044510000002</v>
      </c>
      <c r="T179" s="270">
        <v>0.14000000000000001</v>
      </c>
      <c r="U179" s="270">
        <v>0.01</v>
      </c>
      <c r="X179" s="346">
        <v>278.98176035519992</v>
      </c>
      <c r="Y179" s="344">
        <v>75.719296406399991</v>
      </c>
    </row>
    <row r="180" spans="2:25" ht="17.399999999999999" thickTop="1" thickBot="1">
      <c r="B180" s="216">
        <v>17.399999999999999</v>
      </c>
      <c r="P180" s="342">
        <v>64.018601999999987</v>
      </c>
      <c r="Q180" s="343">
        <v>12.483400319999996</v>
      </c>
      <c r="R180" s="343">
        <v>4.3612275239999994</v>
      </c>
      <c r="S180" s="343">
        <v>1.5204304439999996</v>
      </c>
      <c r="T180" s="270">
        <v>0.14000000000000001</v>
      </c>
      <c r="U180" s="270">
        <v>0.01</v>
      </c>
      <c r="X180" s="346">
        <v>282.74338261439993</v>
      </c>
      <c r="Y180" s="344">
        <v>76.971810220799995</v>
      </c>
    </row>
    <row r="181" spans="2:25" ht="17.399999999999999" thickTop="1" thickBot="1">
      <c r="B181" s="103">
        <v>17.5</v>
      </c>
      <c r="P181" s="342">
        <v>64.756562500000001</v>
      </c>
      <c r="Q181" s="343">
        <v>12.6273</v>
      </c>
      <c r="R181" s="343">
        <v>4.4115006250000004</v>
      </c>
      <c r="S181" s="343">
        <v>1.5379568750000001</v>
      </c>
      <c r="T181" s="270">
        <v>0.14000000000000001</v>
      </c>
      <c r="U181" s="270">
        <v>0.01</v>
      </c>
      <c r="X181" s="346">
        <v>286.5358908</v>
      </c>
      <c r="Y181" s="344">
        <v>78.238345199999983</v>
      </c>
    </row>
    <row r="182" spans="2:25" ht="17.399999999999999" thickTop="1" thickBot="1">
      <c r="B182" s="216">
        <v>17.600000000000001</v>
      </c>
      <c r="P182" s="342">
        <v>65.49875200000001</v>
      </c>
      <c r="Q182" s="343">
        <v>12.772024320000002</v>
      </c>
      <c r="R182" s="343">
        <v>4.462061824000001</v>
      </c>
      <c r="S182" s="343">
        <v>1.5555837440000002</v>
      </c>
      <c r="T182" s="270">
        <v>0.15</v>
      </c>
      <c r="U182" s="270">
        <v>0.01</v>
      </c>
      <c r="X182" s="346">
        <v>290.35939066559996</v>
      </c>
      <c r="Y182" s="344">
        <v>79.518980659199983</v>
      </c>
    </row>
    <row r="183" spans="2:25" ht="17.399999999999999" thickTop="1" thickBot="1">
      <c r="B183" s="103">
        <v>17.7</v>
      </c>
      <c r="P183" s="342">
        <v>66.245170499999986</v>
      </c>
      <c r="Q183" s="343">
        <v>12.917573279999997</v>
      </c>
      <c r="R183" s="343">
        <v>4.5129111209999992</v>
      </c>
      <c r="S183" s="343">
        <v>1.5733110509999999</v>
      </c>
      <c r="T183" s="270">
        <v>0.15</v>
      </c>
      <c r="U183" s="270">
        <v>0.01</v>
      </c>
      <c r="X183" s="346">
        <v>294.21398796479997</v>
      </c>
      <c r="Y183" s="344">
        <v>80.813795913599989</v>
      </c>
    </row>
    <row r="184" spans="2:25" ht="17.399999999999999" thickTop="1" thickBot="1">
      <c r="B184" s="216">
        <v>17.8</v>
      </c>
      <c r="P184" s="342">
        <v>66.995818</v>
      </c>
      <c r="Q184" s="343">
        <v>13.063946880000001</v>
      </c>
      <c r="R184" s="343">
        <v>4.5640485160000006</v>
      </c>
      <c r="S184" s="343">
        <v>1.5911387960000003</v>
      </c>
      <c r="T184" s="270">
        <v>0.15</v>
      </c>
      <c r="U184" s="270">
        <v>0.01</v>
      </c>
      <c r="X184" s="346">
        <v>298.09978845119997</v>
      </c>
      <c r="Y184" s="344">
        <v>82.122870278399986</v>
      </c>
    </row>
    <row r="185" spans="2:25" ht="17.399999999999999" thickTop="1" thickBot="1">
      <c r="B185" s="103">
        <v>17.899999999999999</v>
      </c>
      <c r="P185" s="342">
        <v>67.750694499999994</v>
      </c>
      <c r="Q185" s="343">
        <v>13.211145119999998</v>
      </c>
      <c r="R185" s="343">
        <v>4.6154740089999997</v>
      </c>
      <c r="S185" s="343">
        <v>1.6090669789999998</v>
      </c>
      <c r="T185" s="270">
        <v>0.15</v>
      </c>
      <c r="U185" s="270">
        <v>0.01</v>
      </c>
      <c r="X185" s="346">
        <v>302.01689787840002</v>
      </c>
      <c r="Y185" s="344">
        <v>83.4462830688</v>
      </c>
    </row>
    <row r="186" spans="2:25" ht="17.399999999999999" thickTop="1" thickBot="1">
      <c r="B186" s="216">
        <v>18</v>
      </c>
      <c r="P186" s="342">
        <v>68.509799999999998</v>
      </c>
      <c r="Q186" s="343">
        <v>13.359167999999999</v>
      </c>
      <c r="R186" s="343">
        <v>4.6671876000000001</v>
      </c>
      <c r="S186" s="343">
        <v>1.6270956000000001</v>
      </c>
      <c r="T186" s="270">
        <v>0.15</v>
      </c>
      <c r="U186" s="270">
        <v>0.01</v>
      </c>
      <c r="X186" s="346">
        <v>305.96542199999993</v>
      </c>
      <c r="Y186" s="344">
        <v>84.784113599999969</v>
      </c>
    </row>
    <row r="187" spans="2:25" ht="17.399999999999999" thickTop="1" thickBot="1">
      <c r="B187" s="103">
        <v>18.100000000000001</v>
      </c>
      <c r="P187" s="342">
        <v>69.273134500000012</v>
      </c>
      <c r="Q187" s="343">
        <v>13.508015520000002</v>
      </c>
      <c r="R187" s="343">
        <v>4.7191892890000009</v>
      </c>
      <c r="S187" s="343">
        <v>1.6452246590000004</v>
      </c>
      <c r="T187" s="270">
        <v>0.15</v>
      </c>
      <c r="U187" s="270">
        <v>0.01</v>
      </c>
      <c r="X187" s="346">
        <v>309.94546656959994</v>
      </c>
      <c r="Y187" s="344">
        <v>86.136441187199992</v>
      </c>
    </row>
    <row r="188" spans="2:25" ht="17.399999999999999" thickTop="1" thickBot="1">
      <c r="B188" s="216">
        <v>18.2</v>
      </c>
      <c r="P188" s="342">
        <v>70.040697999999992</v>
      </c>
      <c r="Q188" s="343">
        <v>13.657687679999997</v>
      </c>
      <c r="R188" s="343">
        <v>4.7714790759999994</v>
      </c>
      <c r="S188" s="343">
        <v>1.6634541559999998</v>
      </c>
      <c r="T188" s="270">
        <v>0.16</v>
      </c>
      <c r="U188" s="270">
        <v>0.01</v>
      </c>
      <c r="X188" s="346">
        <v>313.95713734079993</v>
      </c>
      <c r="Y188" s="344">
        <v>87.50334514559998</v>
      </c>
    </row>
    <row r="189" spans="2:25" ht="17.399999999999999" thickTop="1" thickBot="1">
      <c r="B189" s="103">
        <v>18.3</v>
      </c>
      <c r="P189" s="342">
        <v>70.81249050000001</v>
      </c>
      <c r="Q189" s="343">
        <v>13.808184480000001</v>
      </c>
      <c r="R189" s="343">
        <v>4.824056961000001</v>
      </c>
      <c r="S189" s="343">
        <v>1.6817840910000004</v>
      </c>
      <c r="T189" s="270">
        <v>0.16</v>
      </c>
      <c r="U189" s="270">
        <v>0.01</v>
      </c>
      <c r="X189" s="346">
        <v>318.00054006719995</v>
      </c>
      <c r="Y189" s="344">
        <v>88.8849047904</v>
      </c>
    </row>
    <row r="190" spans="2:25" ht="17.399999999999999" thickTop="1" thickBot="1">
      <c r="B190" s="216">
        <v>18.399999999999999</v>
      </c>
      <c r="P190" s="342">
        <v>71.588511999999994</v>
      </c>
      <c r="Q190" s="343">
        <v>13.959505919999996</v>
      </c>
      <c r="R190" s="343">
        <v>4.8769229439999995</v>
      </c>
      <c r="S190" s="343">
        <v>1.7002144639999999</v>
      </c>
      <c r="T190" s="270">
        <v>0.16</v>
      </c>
      <c r="U190" s="270">
        <v>0.01</v>
      </c>
      <c r="X190" s="346">
        <v>322.07578050239999</v>
      </c>
      <c r="Y190" s="344">
        <v>90.28119943679998</v>
      </c>
    </row>
    <row r="191" spans="2:25" ht="17.399999999999999" thickTop="1" thickBot="1">
      <c r="B191" s="103">
        <v>18.5</v>
      </c>
      <c r="P191" s="342">
        <v>72.368762500000003</v>
      </c>
      <c r="Q191" s="343">
        <v>14.111651999999999</v>
      </c>
      <c r="R191" s="343">
        <v>4.9300770250000001</v>
      </c>
      <c r="S191" s="343">
        <v>1.7187452750000001</v>
      </c>
      <c r="T191" s="270">
        <v>0.16</v>
      </c>
      <c r="U191" s="270">
        <v>0.01</v>
      </c>
      <c r="X191" s="346">
        <v>326.18296439999995</v>
      </c>
      <c r="Y191" s="344">
        <v>91.692308399999988</v>
      </c>
    </row>
    <row r="192" spans="2:25" ht="17.399999999999999" thickTop="1" thickBot="1">
      <c r="B192" s="216">
        <v>18.600000000000001</v>
      </c>
      <c r="P192" s="342">
        <v>73.153242000000006</v>
      </c>
      <c r="Q192" s="343">
        <v>14.26462272</v>
      </c>
      <c r="R192" s="343">
        <v>4.9835192040000003</v>
      </c>
      <c r="S192" s="343">
        <v>1.7373765240000003</v>
      </c>
      <c r="T192" s="270">
        <v>0.16</v>
      </c>
      <c r="U192" s="270">
        <v>0.01</v>
      </c>
      <c r="X192" s="346">
        <v>330.32219751359997</v>
      </c>
      <c r="Y192" s="344">
        <v>93.118310995199991</v>
      </c>
    </row>
    <row r="193" spans="2:25" ht="17.399999999999999" thickTop="1" thickBot="1">
      <c r="B193" s="103">
        <v>18.7</v>
      </c>
      <c r="P193" s="342">
        <v>73.941950500000004</v>
      </c>
      <c r="Q193" s="343">
        <v>14.418418079999999</v>
      </c>
      <c r="R193" s="343">
        <v>5.0372494809999999</v>
      </c>
      <c r="S193" s="343">
        <v>1.7561082110000001</v>
      </c>
      <c r="T193" s="270">
        <v>0.16</v>
      </c>
      <c r="U193" s="270">
        <v>0.01</v>
      </c>
      <c r="X193" s="346">
        <v>334.49358559679996</v>
      </c>
      <c r="Y193" s="344">
        <v>94.559286537599988</v>
      </c>
    </row>
    <row r="194" spans="2:25" ht="17.399999999999999" thickTop="1" thickBot="1">
      <c r="B194" s="216">
        <v>18.8</v>
      </c>
      <c r="P194" s="342">
        <v>74.734888000000012</v>
      </c>
      <c r="Q194" s="343">
        <v>14.573038080000002</v>
      </c>
      <c r="R194" s="343">
        <v>5.0912678560000009</v>
      </c>
      <c r="S194" s="343">
        <v>1.7749403360000002</v>
      </c>
      <c r="T194" s="270">
        <v>0.17</v>
      </c>
      <c r="U194" s="270">
        <v>0.01</v>
      </c>
      <c r="X194" s="346">
        <v>338.6972344031999</v>
      </c>
      <c r="Y194" s="344">
        <v>96.015314342399989</v>
      </c>
    </row>
    <row r="195" spans="2:25" ht="17.399999999999999" thickTop="1" thickBot="1">
      <c r="B195" s="103">
        <v>18.899999999999999</v>
      </c>
      <c r="P195" s="342">
        <v>75.532054499999987</v>
      </c>
      <c r="Q195" s="343">
        <v>14.728482719999995</v>
      </c>
      <c r="R195" s="343">
        <v>5.1455743289999987</v>
      </c>
      <c r="S195" s="343">
        <v>1.7938728989999997</v>
      </c>
      <c r="T195" s="270">
        <v>0.17</v>
      </c>
      <c r="U195" s="270">
        <v>0.01</v>
      </c>
      <c r="X195" s="346">
        <v>342.93324968639996</v>
      </c>
      <c r="Y195" s="344">
        <v>97.486473724799993</v>
      </c>
    </row>
    <row r="196" spans="2:25" ht="17.399999999999999" thickTop="1" thickBot="1">
      <c r="B196" s="216">
        <v>18.999999999999901</v>
      </c>
      <c r="P196" s="342">
        <v>76.333449999999203</v>
      </c>
      <c r="Q196" s="343">
        <v>14.884751999999844</v>
      </c>
      <c r="R196" s="343">
        <v>5.2001688999999462</v>
      </c>
      <c r="S196" s="343">
        <v>1.8129058999999812</v>
      </c>
      <c r="T196" s="270">
        <v>0.17</v>
      </c>
      <c r="U196" s="270">
        <v>0.01</v>
      </c>
      <c r="X196" s="346">
        <v>347.2017371999957</v>
      </c>
      <c r="Y196" s="344">
        <v>98.972843999998503</v>
      </c>
    </row>
    <row r="197" spans="2:25" ht="17.399999999999999" thickTop="1" thickBot="1">
      <c r="B197" s="103">
        <v>19.099999999999898</v>
      </c>
      <c r="P197" s="342">
        <v>77.139074499999182</v>
      </c>
      <c r="Q197" s="343">
        <v>15.04184591999984</v>
      </c>
      <c r="R197" s="343">
        <v>5.255051568999944</v>
      </c>
      <c r="S197" s="343">
        <v>1.8320393389999807</v>
      </c>
      <c r="T197" s="270">
        <v>0.17</v>
      </c>
      <c r="U197" s="270">
        <v>0.01</v>
      </c>
      <c r="X197" s="346">
        <v>351.50280269759554</v>
      </c>
      <c r="Y197" s="344">
        <v>100.47450448319846</v>
      </c>
    </row>
    <row r="198" spans="2:25" ht="17.399999999999999" thickTop="1" thickBot="1">
      <c r="B198" s="216">
        <v>19.1999999999999</v>
      </c>
      <c r="P198" s="342">
        <v>77.948927999999185</v>
      </c>
      <c r="Q198" s="343">
        <v>15.199764479999841</v>
      </c>
      <c r="R198" s="343">
        <v>5.3102223359999448</v>
      </c>
      <c r="S198" s="343">
        <v>1.851273215999981</v>
      </c>
      <c r="T198" s="270">
        <v>0.17</v>
      </c>
      <c r="U198" s="270">
        <v>0.01</v>
      </c>
      <c r="X198" s="346">
        <v>355.83655193279577</v>
      </c>
      <c r="Y198" s="344">
        <v>101.99153448959848</v>
      </c>
    </row>
    <row r="199" spans="2:25" ht="17.399999999999999" thickTop="1" thickBot="1">
      <c r="B199" s="103">
        <v>19.299999999999901</v>
      </c>
      <c r="P199" s="342">
        <v>78.763010499999197</v>
      </c>
      <c r="Q199" s="343">
        <v>15.358507679999843</v>
      </c>
      <c r="R199" s="343">
        <v>5.3656812009999451</v>
      </c>
      <c r="S199" s="343">
        <v>1.870607530999981</v>
      </c>
      <c r="T199" s="270">
        <v>0.18</v>
      </c>
      <c r="U199" s="270">
        <v>0.01</v>
      </c>
      <c r="X199" s="346">
        <v>360.20309065919565</v>
      </c>
      <c r="Y199" s="344">
        <v>103.52401333439846</v>
      </c>
    </row>
    <row r="200" spans="2:25" ht="17.399999999999999" thickTop="1" thickBot="1">
      <c r="B200" s="216">
        <v>19.399999999999899</v>
      </c>
      <c r="P200" s="342">
        <v>79.581321999999176</v>
      </c>
      <c r="Q200" s="343">
        <v>15.518075519999838</v>
      </c>
      <c r="R200" s="343">
        <v>5.421428163999944</v>
      </c>
      <c r="S200" s="343">
        <v>1.8900422839999804</v>
      </c>
      <c r="T200" s="270">
        <v>0.18</v>
      </c>
      <c r="U200" s="270">
        <v>0.01</v>
      </c>
      <c r="X200" s="346">
        <v>364.60252463039546</v>
      </c>
      <c r="Y200" s="344">
        <v>105.07202033279839</v>
      </c>
    </row>
    <row r="201" spans="2:25" ht="17.399999999999999" thickTop="1" thickBot="1">
      <c r="B201" s="103">
        <v>19.499999999999901</v>
      </c>
      <c r="P201" s="342">
        <v>80.403862499999178</v>
      </c>
      <c r="Q201" s="343">
        <v>15.678467999999841</v>
      </c>
      <c r="R201" s="343">
        <v>5.4774632249999442</v>
      </c>
      <c r="S201" s="343">
        <v>1.9095774749999805</v>
      </c>
      <c r="T201" s="270">
        <v>0.18</v>
      </c>
      <c r="U201" s="270">
        <v>0.01</v>
      </c>
      <c r="X201" s="346">
        <v>369.0349595999956</v>
      </c>
      <c r="Y201" s="344">
        <v>106.63563479999844</v>
      </c>
    </row>
    <row r="202" spans="2:25" ht="17.399999999999999" thickTop="1" thickBot="1">
      <c r="B202" s="216">
        <v>19.599999999999898</v>
      </c>
      <c r="P202" s="342">
        <v>81.230631999999147</v>
      </c>
      <c r="Q202" s="343">
        <v>15.839685119999833</v>
      </c>
      <c r="R202" s="343">
        <v>5.5337863839999422</v>
      </c>
      <c r="S202" s="343">
        <v>1.9292131039999798</v>
      </c>
      <c r="T202" s="270">
        <v>0.18</v>
      </c>
      <c r="U202" s="270">
        <v>0.01</v>
      </c>
      <c r="X202" s="346">
        <v>373.50050132159538</v>
      </c>
      <c r="Y202" s="344">
        <v>108.21493605119836</v>
      </c>
    </row>
    <row r="203" spans="2:25" ht="17.399999999999999" thickTop="1" thickBot="1">
      <c r="B203" s="103">
        <v>19.6999999999999</v>
      </c>
      <c r="P203" s="342">
        <v>82.061630499999168</v>
      </c>
      <c r="Q203" s="343">
        <v>16.001726879999836</v>
      </c>
      <c r="R203" s="343">
        <v>5.5903976409999432</v>
      </c>
      <c r="S203" s="343">
        <v>1.9489491709999802</v>
      </c>
      <c r="T203" s="270">
        <v>0.18</v>
      </c>
      <c r="U203" s="270">
        <v>0.01</v>
      </c>
      <c r="X203" s="346">
        <v>377.99925554879553</v>
      </c>
      <c r="Y203" s="344">
        <v>109.81000340159841</v>
      </c>
    </row>
    <row r="204" spans="2:25" ht="17.399999999999999" thickTop="1" thickBot="1">
      <c r="B204" s="216">
        <v>19.799999999999901</v>
      </c>
      <c r="P204" s="342">
        <v>82.89685799999917</v>
      </c>
      <c r="Q204" s="343">
        <v>16.164593279999838</v>
      </c>
      <c r="R204" s="343">
        <v>5.6472969959999437</v>
      </c>
      <c r="S204" s="343">
        <v>1.9687856759999804</v>
      </c>
      <c r="T204" s="270">
        <v>0.18</v>
      </c>
      <c r="U204" s="270">
        <v>0.01</v>
      </c>
      <c r="X204" s="346">
        <v>382.53132803519549</v>
      </c>
      <c r="Y204" s="344">
        <v>111.42091616639838</v>
      </c>
    </row>
    <row r="205" spans="2:25" ht="17.399999999999999" thickTop="1" thickBot="1">
      <c r="B205" s="103">
        <v>19.899999999999899</v>
      </c>
      <c r="P205" s="342">
        <v>83.736314499999153</v>
      </c>
      <c r="Q205" s="343">
        <v>16.328284319999835</v>
      </c>
      <c r="R205" s="343">
        <v>5.7044844489999429</v>
      </c>
      <c r="S205" s="343">
        <v>1.98872261899998</v>
      </c>
      <c r="T205" s="270">
        <v>0.19</v>
      </c>
      <c r="U205" s="270">
        <v>0.01</v>
      </c>
      <c r="X205" s="346">
        <v>387.0968245343953</v>
      </c>
      <c r="Y205" s="344">
        <v>113.04775366079831</v>
      </c>
    </row>
    <row r="206" spans="2:25" ht="17.399999999999999" thickTop="1" thickBot="1">
      <c r="B206" s="216">
        <v>19.999999999999901</v>
      </c>
      <c r="P206" s="342">
        <v>84.57999999999916</v>
      </c>
      <c r="Q206" s="343">
        <v>16.492799999999836</v>
      </c>
      <c r="R206" s="343">
        <v>5.7619599999999425</v>
      </c>
      <c r="S206" s="343">
        <v>2.0087599999999801</v>
      </c>
      <c r="T206" s="270">
        <v>0.19</v>
      </c>
      <c r="U206" s="270">
        <v>0.01</v>
      </c>
      <c r="X206" s="346">
        <v>391.69585079999541</v>
      </c>
      <c r="Y206" s="344">
        <v>114.69059519999837</v>
      </c>
    </row>
    <row r="207" spans="2:25" ht="17.399999999999999" thickTop="1" thickBot="1">
      <c r="B207" s="103">
        <v>20.099999999999898</v>
      </c>
      <c r="P207" s="342">
        <v>85.427914499999133</v>
      </c>
      <c r="Q207" s="343">
        <v>16.658140319999831</v>
      </c>
      <c r="R207" s="343">
        <v>5.8197236489999407</v>
      </c>
      <c r="S207" s="343">
        <v>2.0288978189999796</v>
      </c>
      <c r="T207" s="270">
        <v>0.19</v>
      </c>
      <c r="U207" s="270">
        <v>0.01</v>
      </c>
      <c r="X207" s="346">
        <v>396.32851258559515</v>
      </c>
      <c r="Y207" s="344">
        <v>116.34952009919829</v>
      </c>
    </row>
    <row r="208" spans="2:25" ht="17.399999999999999" thickTop="1" thickBot="1">
      <c r="B208" s="216">
        <v>20.1999999999999</v>
      </c>
      <c r="P208" s="342">
        <v>86.280057999999144</v>
      </c>
      <c r="Q208" s="343">
        <v>16.82430527999983</v>
      </c>
      <c r="R208" s="343">
        <v>5.877775395999941</v>
      </c>
      <c r="S208" s="343">
        <v>2.0491360759999795</v>
      </c>
      <c r="T208" s="270">
        <v>0.19</v>
      </c>
      <c r="U208" s="270">
        <v>0.02</v>
      </c>
      <c r="X208" s="346">
        <v>400.9949156447953</v>
      </c>
      <c r="Y208" s="344">
        <v>118.02460767359833</v>
      </c>
    </row>
    <row r="209" spans="2:25" ht="17.399999999999999" thickTop="1" thickBot="1">
      <c r="B209" s="103">
        <v>20.299999999999901</v>
      </c>
      <c r="P209" s="342">
        <v>87.13643049999915</v>
      </c>
      <c r="Q209" s="343">
        <v>16.991294879999835</v>
      </c>
      <c r="R209" s="343">
        <v>5.9361152409999427</v>
      </c>
      <c r="S209" s="343">
        <v>2.0694747709999799</v>
      </c>
      <c r="T209" s="270">
        <v>0.19</v>
      </c>
      <c r="U209" s="270">
        <v>0.02</v>
      </c>
      <c r="X209" s="346">
        <v>405.69516573119529</v>
      </c>
      <c r="Y209" s="344">
        <v>119.71593723839831</v>
      </c>
    </row>
    <row r="210" spans="2:25" ht="17.399999999999999" thickTop="1" thickBot="1">
      <c r="B210" s="216">
        <v>20.399999999999899</v>
      </c>
      <c r="P210" s="342">
        <v>87.997031999999123</v>
      </c>
      <c r="Q210" s="343">
        <v>17.15910911999983</v>
      </c>
      <c r="R210" s="343">
        <v>5.9947431839999403</v>
      </c>
      <c r="S210" s="343">
        <v>2.0899139039999794</v>
      </c>
      <c r="T210" s="270">
        <v>0.2</v>
      </c>
      <c r="U210" s="270">
        <v>0.02</v>
      </c>
      <c r="X210" s="346">
        <v>410.42936859839506</v>
      </c>
      <c r="Y210" s="344">
        <v>121.42358810879821</v>
      </c>
    </row>
    <row r="211" spans="2:25" ht="17.399999999999999" thickTop="1" thickBot="1">
      <c r="B211" s="103">
        <v>20.499999999999901</v>
      </c>
      <c r="P211" s="342">
        <v>88.861862499999134</v>
      </c>
      <c r="Q211" s="343">
        <v>17.327747999999829</v>
      </c>
      <c r="R211" s="343">
        <v>6.053659224999941</v>
      </c>
      <c r="S211" s="343">
        <v>2.1104534749999795</v>
      </c>
      <c r="T211" s="270">
        <v>0.2</v>
      </c>
      <c r="U211" s="270">
        <v>0.02</v>
      </c>
      <c r="X211" s="346">
        <v>415.19762999999523</v>
      </c>
      <c r="Y211" s="344">
        <v>123.14763959999827</v>
      </c>
    </row>
    <row r="212" spans="2:25" ht="17.399999999999999" thickTop="1" thickBot="1">
      <c r="B212" s="216">
        <v>20.599999999999898</v>
      </c>
      <c r="P212" s="342">
        <v>89.730921999999111</v>
      </c>
      <c r="Q212" s="343">
        <v>17.497211519999826</v>
      </c>
      <c r="R212" s="343">
        <v>6.1128633639999395</v>
      </c>
      <c r="S212" s="343">
        <v>2.1310934839999791</v>
      </c>
      <c r="T212" s="270">
        <v>0.2</v>
      </c>
      <c r="U212" s="270">
        <v>0.02</v>
      </c>
      <c r="X212" s="346">
        <v>420.00005568959511</v>
      </c>
      <c r="Y212" s="344">
        <v>124.8881710271982</v>
      </c>
    </row>
    <row r="213" spans="2:25" ht="17.399999999999999" thickTop="1" thickBot="1">
      <c r="B213" s="103">
        <v>20.6999999999999</v>
      </c>
      <c r="P213" s="342">
        <v>90.604210499999127</v>
      </c>
      <c r="Q213" s="343">
        <v>17.667499679999828</v>
      </c>
      <c r="R213" s="343">
        <v>6.1723556009999401</v>
      </c>
      <c r="S213" s="343">
        <v>2.1518339309999792</v>
      </c>
      <c r="T213" s="270">
        <v>0.2</v>
      </c>
      <c r="U213" s="270">
        <v>0.02</v>
      </c>
      <c r="X213" s="346">
        <v>424.83675142079511</v>
      </c>
      <c r="Y213" s="344">
        <v>126.64526170559823</v>
      </c>
    </row>
    <row r="214" spans="2:25" ht="17.399999999999999" thickTop="1" thickBot="1">
      <c r="B214" s="216">
        <v>20.799999999999901</v>
      </c>
      <c r="P214" s="342">
        <v>91.481727999999137</v>
      </c>
      <c r="Q214" s="343">
        <v>17.838612479999831</v>
      </c>
      <c r="R214" s="343">
        <v>6.2321359359999411</v>
      </c>
      <c r="S214" s="343">
        <v>2.1726748159999794</v>
      </c>
      <c r="T214" s="270">
        <v>0.2</v>
      </c>
      <c r="U214" s="270">
        <v>0.02</v>
      </c>
      <c r="X214" s="346">
        <v>429.70782294719527</v>
      </c>
      <c r="Y214" s="344">
        <v>128.41899095039824</v>
      </c>
    </row>
    <row r="215" spans="2:25" ht="17.399999999999999" thickTop="1" thickBot="1">
      <c r="B215" s="103">
        <v>20.899999999999899</v>
      </c>
      <c r="P215" s="342">
        <v>92.363474499999114</v>
      </c>
      <c r="Q215" s="343">
        <v>18.010549919999825</v>
      </c>
      <c r="R215" s="343">
        <v>6.2922043689999398</v>
      </c>
      <c r="S215" s="343">
        <v>2.1936161389999791</v>
      </c>
      <c r="T215" s="270">
        <v>0.21</v>
      </c>
      <c r="U215" s="270">
        <v>0.02</v>
      </c>
      <c r="X215" s="346">
        <v>434.61337602239502</v>
      </c>
      <c r="Y215" s="344">
        <v>130.20943807679814</v>
      </c>
    </row>
    <row r="216" spans="2:25" ht="17.399999999999999" thickTop="1" thickBot="1">
      <c r="B216" s="216">
        <v>20.999999999999901</v>
      </c>
      <c r="P216" s="342">
        <v>93.249449999999115</v>
      </c>
      <c r="Q216" s="343">
        <v>18.183311999999827</v>
      </c>
      <c r="R216" s="343">
        <v>6.352560899999939</v>
      </c>
      <c r="S216" s="343">
        <v>2.2146578999999789</v>
      </c>
      <c r="T216" s="270">
        <v>0.21</v>
      </c>
      <c r="U216" s="270">
        <v>0.02</v>
      </c>
      <c r="X216" s="346">
        <v>439.55351639999509</v>
      </c>
      <c r="Y216" s="344">
        <v>132.01668239999819</v>
      </c>
    </row>
    <row r="217" spans="2:25" ht="17.399999999999999" thickTop="1" thickBot="1">
      <c r="B217" s="103">
        <v>21.099999999999898</v>
      </c>
      <c r="P217" s="342">
        <v>94.139654499999097</v>
      </c>
      <c r="Q217" s="343">
        <v>18.356898719999823</v>
      </c>
      <c r="R217" s="343">
        <v>6.4132055289999386</v>
      </c>
      <c r="S217" s="343">
        <v>2.2358000989999787</v>
      </c>
      <c r="T217" s="270">
        <v>0.21</v>
      </c>
      <c r="U217" s="270">
        <v>0.02</v>
      </c>
      <c r="X217" s="346">
        <v>444.52834983359486</v>
      </c>
      <c r="Y217" s="344">
        <v>133.84080323519811</v>
      </c>
    </row>
    <row r="218" spans="2:25" ht="17.399999999999999" thickTop="1" thickBot="1">
      <c r="B218" s="216">
        <v>21.1999999999999</v>
      </c>
      <c r="P218" s="342">
        <v>95.034087999999102</v>
      </c>
      <c r="Q218" s="343">
        <v>18.531310079999823</v>
      </c>
      <c r="R218" s="343">
        <v>6.4741382559999385</v>
      </c>
      <c r="S218" s="343">
        <v>2.2570427359999785</v>
      </c>
      <c r="T218" s="270">
        <v>0.21</v>
      </c>
      <c r="U218" s="270">
        <v>0.02</v>
      </c>
      <c r="X218" s="346">
        <v>449.53798207679506</v>
      </c>
      <c r="Y218" s="344">
        <v>135.68187989759815</v>
      </c>
    </row>
    <row r="219" spans="2:25" ht="17.399999999999999" thickTop="1" thickBot="1">
      <c r="B219" s="103">
        <v>21.299999999999901</v>
      </c>
      <c r="P219" s="342">
        <v>95.932750499999116</v>
      </c>
      <c r="Q219" s="343">
        <v>18.706546079999825</v>
      </c>
      <c r="R219" s="343">
        <v>6.5353590809999398</v>
      </c>
      <c r="S219" s="343">
        <v>2.2783858109999788</v>
      </c>
      <c r="T219" s="270">
        <v>0.21</v>
      </c>
      <c r="U219" s="270">
        <v>0.02</v>
      </c>
      <c r="X219" s="346">
        <v>454.58251888319495</v>
      </c>
      <c r="Y219" s="344">
        <v>137.53999170239817</v>
      </c>
    </row>
    <row r="220" spans="2:25" ht="17.399999999999999" thickTop="1" thickBot="1">
      <c r="B220" s="216">
        <v>21.399999999999899</v>
      </c>
      <c r="P220" s="342">
        <v>96.835641999999083</v>
      </c>
      <c r="Q220" s="343">
        <v>18.882606719999821</v>
      </c>
      <c r="R220" s="343">
        <v>6.5968680039999379</v>
      </c>
      <c r="S220" s="343">
        <v>2.2998293239999783</v>
      </c>
      <c r="T220" s="270">
        <v>0.22</v>
      </c>
      <c r="U220" s="270">
        <v>0.02</v>
      </c>
      <c r="X220" s="346">
        <v>459.6620660063947</v>
      </c>
      <c r="Y220" s="344">
        <v>139.41521796479805</v>
      </c>
    </row>
    <row r="221" spans="2:25" ht="17.399999999999999" thickTop="1" thickBot="1">
      <c r="B221" s="103">
        <v>21.499999999999901</v>
      </c>
      <c r="P221" s="342">
        <v>97.742762499999102</v>
      </c>
      <c r="Q221" s="343">
        <v>19.059491999999825</v>
      </c>
      <c r="R221" s="343">
        <v>6.6586650249999382</v>
      </c>
      <c r="S221" s="343">
        <v>2.3213732749999787</v>
      </c>
      <c r="T221" s="270">
        <v>0.22</v>
      </c>
      <c r="U221" s="270">
        <v>0.02</v>
      </c>
      <c r="X221" s="346">
        <v>464.77672919999492</v>
      </c>
      <c r="Y221" s="344">
        <v>141.30763799999809</v>
      </c>
    </row>
    <row r="222" spans="2:25" ht="17.399999999999999" thickTop="1" thickBot="1">
      <c r="B222" s="216">
        <v>21.599999999999898</v>
      </c>
      <c r="P222" s="342">
        <v>98.654111999999074</v>
      </c>
      <c r="Q222" s="343">
        <v>19.237201919999819</v>
      </c>
      <c r="R222" s="343">
        <v>6.7207501439999371</v>
      </c>
      <c r="S222" s="343">
        <v>2.3430176639999782</v>
      </c>
      <c r="T222" s="270">
        <v>0.22</v>
      </c>
      <c r="U222" s="270">
        <v>0.02</v>
      </c>
      <c r="X222" s="346">
        <v>469.92661421759476</v>
      </c>
      <c r="Y222" s="344">
        <v>143.21733112319802</v>
      </c>
    </row>
    <row r="223" spans="2:25" ht="17.399999999999999" thickTop="1" thickBot="1">
      <c r="B223" s="103">
        <v>21.6999999999999</v>
      </c>
      <c r="P223" s="342">
        <v>99.569690499999083</v>
      </c>
      <c r="Q223" s="343">
        <v>19.415736479999822</v>
      </c>
      <c r="R223" s="343">
        <v>6.7831233609999373</v>
      </c>
      <c r="S223" s="343">
        <v>2.3647624909999783</v>
      </c>
      <c r="T223" s="270">
        <v>0.22</v>
      </c>
      <c r="U223" s="270">
        <v>0.02</v>
      </c>
      <c r="X223" s="346">
        <v>475.1118268127949</v>
      </c>
      <c r="Y223" s="344">
        <v>145.14437664959806</v>
      </c>
    </row>
    <row r="224" spans="2:25" ht="17.399999999999999" thickTop="1" thickBot="1">
      <c r="B224" s="216">
        <v>21.799999999999901</v>
      </c>
      <c r="P224" s="342">
        <v>100.48949799999909</v>
      </c>
      <c r="Q224" s="343">
        <v>19.595095679999822</v>
      </c>
      <c r="R224" s="343">
        <v>6.8457846759999379</v>
      </c>
      <c r="S224" s="343">
        <v>2.3866077559999783</v>
      </c>
      <c r="T224" s="270">
        <v>0.22</v>
      </c>
      <c r="U224" s="270">
        <v>0.02</v>
      </c>
      <c r="X224" s="346">
        <v>480.33247273919483</v>
      </c>
      <c r="Y224" s="344">
        <v>147.08885389439806</v>
      </c>
    </row>
    <row r="225" spans="2:25" ht="17.399999999999999" thickTop="1" thickBot="1">
      <c r="B225" s="103">
        <v>21.899999999999899</v>
      </c>
      <c r="P225" s="342">
        <v>101.41353449999906</v>
      </c>
      <c r="Q225" s="343">
        <v>19.775279519999817</v>
      </c>
      <c r="R225" s="343">
        <v>6.9087340889999362</v>
      </c>
      <c r="S225" s="343">
        <v>2.408553458999978</v>
      </c>
      <c r="T225" s="270">
        <v>0.23</v>
      </c>
      <c r="U225" s="270">
        <v>0.02</v>
      </c>
      <c r="X225" s="346">
        <v>485.58865775039453</v>
      </c>
      <c r="Y225" s="344">
        <v>149.05084217279799</v>
      </c>
    </row>
    <row r="226" spans="2:25" ht="17.399999999999999" thickTop="1" thickBot="1">
      <c r="B226" s="216">
        <v>21.999999999999901</v>
      </c>
      <c r="P226" s="342">
        <v>102.34179999999907</v>
      </c>
      <c r="Q226" s="343">
        <v>19.95628799999982</v>
      </c>
      <c r="R226" s="343">
        <v>6.9719715999999368</v>
      </c>
      <c r="S226" s="343">
        <v>2.4305995999999781</v>
      </c>
      <c r="T226" s="270">
        <v>0.23</v>
      </c>
      <c r="U226" s="270">
        <v>0.02</v>
      </c>
      <c r="X226" s="346">
        <v>490.88048759999475</v>
      </c>
      <c r="Y226" s="344">
        <v>151.03042079999801</v>
      </c>
    </row>
    <row r="227" spans="2:25" ht="17.399999999999999" thickTop="1" thickBot="1">
      <c r="B227" s="103">
        <v>22.099999999999898</v>
      </c>
      <c r="P227" s="342">
        <v>103.27429449999906</v>
      </c>
      <c r="Q227" s="343">
        <v>20.138121119999816</v>
      </c>
      <c r="R227" s="343">
        <v>7.0354972089999359</v>
      </c>
      <c r="S227" s="343">
        <v>2.4527461789999778</v>
      </c>
      <c r="T227" s="270">
        <v>0.23</v>
      </c>
      <c r="U227" s="270">
        <v>0.02</v>
      </c>
      <c r="X227" s="346">
        <v>496.20806804159452</v>
      </c>
      <c r="Y227" s="344">
        <v>153.02766909119794</v>
      </c>
    </row>
    <row r="228" spans="2:25" ht="17.399999999999999" thickTop="1" thickBot="1">
      <c r="B228" s="216">
        <v>22.1999999999999</v>
      </c>
      <c r="P228" s="342">
        <v>104.21101799999906</v>
      </c>
      <c r="Q228" s="343">
        <v>20.320778879999814</v>
      </c>
      <c r="R228" s="343">
        <v>7.0993109159999355</v>
      </c>
      <c r="S228" s="343">
        <v>2.4749931959999776</v>
      </c>
      <c r="T228" s="270">
        <v>0.23</v>
      </c>
      <c r="U228" s="270">
        <v>0.02</v>
      </c>
      <c r="X228" s="346">
        <v>501.57150482879456</v>
      </c>
      <c r="Y228" s="344">
        <v>155.04266636159798</v>
      </c>
    </row>
    <row r="229" spans="2:25" ht="17.399999999999999" thickTop="1" thickBot="1">
      <c r="B229" s="103">
        <v>22.299999999999901</v>
      </c>
      <c r="P229" s="342">
        <v>105.15197049999907</v>
      </c>
      <c r="Q229" s="343">
        <v>20.504261279999817</v>
      </c>
      <c r="R229" s="343">
        <v>7.1634127209999363</v>
      </c>
      <c r="S229" s="343">
        <v>2.4973406509999778</v>
      </c>
      <c r="T229" s="270">
        <v>0.23</v>
      </c>
      <c r="U229" s="270">
        <v>0.02</v>
      </c>
      <c r="X229" s="346">
        <v>506.97090371519459</v>
      </c>
      <c r="Y229" s="344">
        <v>157.07549192639797</v>
      </c>
    </row>
    <row r="230" spans="2:25" ht="17.399999999999999" thickTop="1" thickBot="1">
      <c r="B230" s="216">
        <v>22.399999999999899</v>
      </c>
      <c r="P230" s="342">
        <v>106.09715199999904</v>
      </c>
      <c r="Q230" s="343">
        <v>20.688568319999813</v>
      </c>
      <c r="R230" s="343">
        <v>7.2278026239999349</v>
      </c>
      <c r="S230" s="343">
        <v>2.5197885439999776</v>
      </c>
      <c r="T230" s="270">
        <v>0.24</v>
      </c>
      <c r="U230" s="270">
        <v>0.02</v>
      </c>
      <c r="X230" s="346">
        <v>512.40637045439439</v>
      </c>
      <c r="Y230" s="344">
        <v>159.12622510079788</v>
      </c>
    </row>
    <row r="231" spans="2:25" ht="17.399999999999999" thickTop="1" thickBot="1">
      <c r="B231" s="103">
        <v>22.499999999999901</v>
      </c>
      <c r="P231" s="342">
        <v>107.04656249999906</v>
      </c>
      <c r="Q231" s="343">
        <v>20.873699999999815</v>
      </c>
      <c r="R231" s="343">
        <v>7.2924806249999357</v>
      </c>
      <c r="S231" s="343">
        <v>2.5423368749999775</v>
      </c>
      <c r="T231" s="270">
        <v>0.24</v>
      </c>
      <c r="U231" s="270">
        <v>0.02</v>
      </c>
      <c r="X231" s="346">
        <v>517.87801079999451</v>
      </c>
      <c r="Y231" s="344">
        <v>161.19494519999793</v>
      </c>
    </row>
    <row r="232" spans="2:25" ht="17.399999999999999" thickTop="1" thickBot="1">
      <c r="B232" s="216">
        <v>22.599999999999898</v>
      </c>
      <c r="P232" s="342">
        <v>108.00020199999902</v>
      </c>
      <c r="Q232" s="343">
        <v>21.05965631999981</v>
      </c>
      <c r="R232" s="343">
        <v>7.3574467239999333</v>
      </c>
      <c r="S232" s="343">
        <v>2.564985643999977</v>
      </c>
      <c r="T232" s="270">
        <v>0.24</v>
      </c>
      <c r="U232" s="270">
        <v>0.02</v>
      </c>
      <c r="X232" s="346">
        <v>523.38593050559427</v>
      </c>
      <c r="Y232" s="344">
        <v>163.28173153919784</v>
      </c>
    </row>
    <row r="233" spans="2:25" ht="17.399999999999999" thickTop="1" thickBot="1">
      <c r="B233" s="103">
        <v>22.6999999999999</v>
      </c>
      <c r="P233" s="342">
        <v>108.95807049999902</v>
      </c>
      <c r="Q233" s="343">
        <v>21.24643727999981</v>
      </c>
      <c r="R233" s="343">
        <v>7.4227009209999339</v>
      </c>
      <c r="S233" s="343">
        <v>2.5877348509999769</v>
      </c>
      <c r="T233" s="270">
        <v>0.24</v>
      </c>
      <c r="U233" s="270">
        <v>0.02</v>
      </c>
      <c r="X233" s="346">
        <v>528.93023532479447</v>
      </c>
      <c r="Y233" s="344">
        <v>165.3866634335979</v>
      </c>
    </row>
    <row r="234" spans="2:25" ht="17.399999999999999" thickTop="1" thickBot="1">
      <c r="B234" s="216">
        <v>22.799999999999901</v>
      </c>
      <c r="P234" s="342">
        <v>109.92016799999905</v>
      </c>
      <c r="Q234" s="343">
        <v>21.434042879999812</v>
      </c>
      <c r="R234" s="343">
        <v>7.488243215999935</v>
      </c>
      <c r="S234" s="343">
        <v>2.6105844959999773</v>
      </c>
      <c r="T234" s="270">
        <v>0.24</v>
      </c>
      <c r="U234" s="270">
        <v>0.02</v>
      </c>
      <c r="X234" s="346">
        <v>534.51103101119452</v>
      </c>
      <c r="Y234" s="344">
        <v>167.50982019839788</v>
      </c>
    </row>
    <row r="235" spans="2:25" ht="17.399999999999999" thickTop="1" thickBot="1">
      <c r="B235" s="103">
        <v>22.899999999999899</v>
      </c>
      <c r="P235" s="342">
        <v>110.88649449999903</v>
      </c>
      <c r="Q235" s="343">
        <v>21.62247311999981</v>
      </c>
      <c r="R235" s="343">
        <v>7.5540736089999339</v>
      </c>
      <c r="S235" s="343">
        <v>2.6335345789999769</v>
      </c>
      <c r="T235" s="270">
        <v>0.25</v>
      </c>
      <c r="U235" s="270">
        <v>0.02</v>
      </c>
      <c r="X235" s="346">
        <v>540.1284233183942</v>
      </c>
      <c r="Y235" s="344">
        <v>169.65128114879778</v>
      </c>
    </row>
    <row r="236" spans="2:25" ht="17.399999999999999" thickTop="1" thickBot="1">
      <c r="B236" s="216">
        <v>22.999999999999901</v>
      </c>
      <c r="P236" s="342">
        <v>111.85704999999903</v>
      </c>
      <c r="Q236" s="343">
        <v>21.81172799999981</v>
      </c>
      <c r="R236" s="343">
        <v>7.6201920999999349</v>
      </c>
      <c r="S236" s="343">
        <v>2.6565850999999774</v>
      </c>
      <c r="T236" s="270">
        <v>0.25</v>
      </c>
      <c r="U236" s="270">
        <v>0.02</v>
      </c>
      <c r="X236" s="346">
        <v>545.7825179999943</v>
      </c>
      <c r="Y236" s="344">
        <v>171.81112559999784</v>
      </c>
    </row>
    <row r="237" spans="2:25" ht="17.399999999999999" thickTop="1" thickBot="1">
      <c r="B237" s="103">
        <v>23.099999999999898</v>
      </c>
      <c r="P237" s="342">
        <v>112.83183449999902</v>
      </c>
      <c r="Q237" s="343">
        <v>22.001807519999808</v>
      </c>
      <c r="R237" s="343">
        <v>7.6865986889999327</v>
      </c>
      <c r="S237" s="343">
        <v>2.6797360589999766</v>
      </c>
      <c r="T237" s="270">
        <v>0.25</v>
      </c>
      <c r="U237" s="270">
        <v>0.02</v>
      </c>
      <c r="X237" s="346">
        <v>551.47342080959413</v>
      </c>
      <c r="Y237" s="344">
        <v>173.98943286719773</v>
      </c>
    </row>
    <row r="238" spans="2:25" ht="17.399999999999999" thickTop="1" thickBot="1">
      <c r="B238" s="216">
        <v>23.1999999999999</v>
      </c>
      <c r="P238" s="342">
        <v>113.81084799999901</v>
      </c>
      <c r="Q238" s="343">
        <v>22.192711679999807</v>
      </c>
      <c r="R238" s="343">
        <v>7.7532933759999327</v>
      </c>
      <c r="S238" s="343">
        <v>2.7029874559999767</v>
      </c>
      <c r="T238" s="270">
        <v>0.25</v>
      </c>
      <c r="U238" s="270">
        <v>0.02</v>
      </c>
      <c r="X238" s="346">
        <v>557.20123750079438</v>
      </c>
      <c r="Y238" s="344">
        <v>176.18628226559778</v>
      </c>
    </row>
    <row r="239" spans="2:25" ht="17.399999999999999" thickTop="1" thickBot="1">
      <c r="B239" s="103">
        <v>23.299999999999901</v>
      </c>
      <c r="P239" s="342">
        <v>114.79409049999903</v>
      </c>
      <c r="Q239" s="343">
        <v>22.38444047999981</v>
      </c>
      <c r="R239" s="343">
        <v>7.8202761609999341</v>
      </c>
      <c r="S239" s="343">
        <v>2.7263392909999773</v>
      </c>
      <c r="T239" s="270">
        <v>0.26</v>
      </c>
      <c r="U239" s="270">
        <v>0.02</v>
      </c>
      <c r="X239" s="346">
        <v>562.96607382719435</v>
      </c>
      <c r="Y239" s="344">
        <v>178.40175311039778</v>
      </c>
    </row>
    <row r="240" spans="2:25" ht="17.399999999999999" thickTop="1" thickBot="1">
      <c r="B240" s="216">
        <v>23.399999999999899</v>
      </c>
      <c r="P240" s="342">
        <v>115.781561999999</v>
      </c>
      <c r="Q240" s="343">
        <v>22.576993919999804</v>
      </c>
      <c r="R240" s="343">
        <v>7.8875470439999322</v>
      </c>
      <c r="S240" s="343">
        <v>2.7497915639999766</v>
      </c>
      <c r="T240" s="270">
        <v>0.26</v>
      </c>
      <c r="U240" s="270">
        <v>0.02</v>
      </c>
      <c r="X240" s="346">
        <v>568.76803554239393</v>
      </c>
      <c r="Y240" s="344">
        <v>180.63592471679769</v>
      </c>
    </row>
    <row r="241" spans="2:25" ht="17.399999999999999" thickTop="1" thickBot="1">
      <c r="B241" s="103">
        <v>23.499999999999901</v>
      </c>
      <c r="P241" s="342">
        <v>116.77326249999902</v>
      </c>
      <c r="Q241" s="343">
        <v>22.770371999999806</v>
      </c>
      <c r="R241" s="343">
        <v>7.9551060249999326</v>
      </c>
      <c r="S241" s="343">
        <v>2.7733442749999768</v>
      </c>
      <c r="T241" s="270">
        <v>0.26</v>
      </c>
      <c r="U241" s="270">
        <v>0.02</v>
      </c>
      <c r="X241" s="346">
        <v>574.60722839999426</v>
      </c>
      <c r="Y241" s="344">
        <v>182.88887639999777</v>
      </c>
    </row>
    <row r="242" spans="2:25" ht="17.399999999999999" thickTop="1" thickBot="1">
      <c r="B242" s="216">
        <v>23.599999999999898</v>
      </c>
      <c r="P242" s="342">
        <v>117.76919199999897</v>
      </c>
      <c r="Q242" s="343">
        <v>22.964574719999799</v>
      </c>
      <c r="R242" s="343">
        <v>8.0229531039999298</v>
      </c>
      <c r="S242" s="343">
        <v>2.7969974239999758</v>
      </c>
      <c r="T242" s="270">
        <v>0.26</v>
      </c>
      <c r="U242" s="270">
        <v>0.02</v>
      </c>
      <c r="X242" s="346">
        <v>580.48375815359384</v>
      </c>
      <c r="Y242" s="344">
        <v>185.16068747519762</v>
      </c>
    </row>
    <row r="243" spans="2:25" ht="17.399999999999999" thickTop="1" thickBot="1">
      <c r="B243" s="103">
        <v>23.6999999999999</v>
      </c>
      <c r="P243" s="342">
        <v>118.76935049999901</v>
      </c>
      <c r="Q243" s="343">
        <v>23.159602079999804</v>
      </c>
      <c r="R243" s="343">
        <v>8.0910882809999318</v>
      </c>
      <c r="S243" s="343">
        <v>2.8207510109999765</v>
      </c>
      <c r="T243" s="270">
        <v>0.26</v>
      </c>
      <c r="U243" s="270">
        <v>0.02</v>
      </c>
      <c r="X243" s="346">
        <v>586.39773055679416</v>
      </c>
      <c r="Y243" s="344">
        <v>187.45143725759769</v>
      </c>
    </row>
    <row r="244" spans="2:25" ht="17.399999999999999" thickTop="1" thickBot="1">
      <c r="B244" s="216">
        <v>23.799999999999901</v>
      </c>
      <c r="P244" s="342">
        <v>119.773737999999</v>
      </c>
      <c r="Q244" s="343">
        <v>23.355454079999806</v>
      </c>
      <c r="R244" s="343">
        <v>8.1595115559999325</v>
      </c>
      <c r="S244" s="343">
        <v>2.8446050359999764</v>
      </c>
      <c r="T244" s="270">
        <v>0.27</v>
      </c>
      <c r="U244" s="270">
        <v>0.02</v>
      </c>
      <c r="X244" s="346">
        <v>592.34925136319407</v>
      </c>
      <c r="Y244" s="344">
        <v>189.76120506239769</v>
      </c>
    </row>
    <row r="245" spans="2:25" ht="17.399999999999999" thickTop="1" thickBot="1">
      <c r="B245" s="103">
        <v>23.899999999999899</v>
      </c>
      <c r="P245" s="342">
        <v>120.78235449999897</v>
      </c>
      <c r="Q245" s="343">
        <v>23.552130719999798</v>
      </c>
      <c r="R245" s="343">
        <v>8.22822292899993</v>
      </c>
      <c r="S245" s="343">
        <v>2.8685594989999759</v>
      </c>
      <c r="T245" s="270">
        <v>0.27</v>
      </c>
      <c r="U245" s="270">
        <v>0.02</v>
      </c>
      <c r="X245" s="346">
        <v>598.3384263263938</v>
      </c>
      <c r="Y245" s="344">
        <v>192.09007020479754</v>
      </c>
    </row>
    <row r="246" spans="2:25" ht="17.399999999999999" thickTop="1" thickBot="1">
      <c r="B246" s="216">
        <v>23.999999999999901</v>
      </c>
      <c r="P246" s="342">
        <v>121.79519999999899</v>
      </c>
      <c r="Q246" s="343">
        <v>23.749631999999803</v>
      </c>
      <c r="R246" s="343">
        <v>8.2972223999999315</v>
      </c>
      <c r="S246" s="343">
        <v>2.8926143999999763</v>
      </c>
      <c r="T246" s="270">
        <v>0.27</v>
      </c>
      <c r="U246" s="270">
        <v>0.02</v>
      </c>
      <c r="X246" s="346">
        <v>604.36536119999403</v>
      </c>
      <c r="Y246" s="344">
        <v>194.43811199999766</v>
      </c>
    </row>
    <row r="247" spans="2:25" ht="17.399999999999999" thickTop="1" thickBot="1">
      <c r="B247" s="103">
        <v>24.099999999999898</v>
      </c>
      <c r="P247" s="342">
        <v>122.81227449999895</v>
      </c>
      <c r="Q247" s="343">
        <v>23.947957919999794</v>
      </c>
      <c r="R247" s="343">
        <v>8.366509968999928</v>
      </c>
      <c r="S247" s="343">
        <v>2.9167697389999754</v>
      </c>
      <c r="T247" s="270">
        <v>0.27</v>
      </c>
      <c r="U247" s="270">
        <v>0.02</v>
      </c>
      <c r="X247" s="346">
        <v>610.43016173759372</v>
      </c>
      <c r="Y247" s="344">
        <v>196.80540976319753</v>
      </c>
    </row>
    <row r="248" spans="2:25" ht="17.399999999999999" thickTop="1" thickBot="1">
      <c r="B248" s="216">
        <v>24.1999999999999</v>
      </c>
      <c r="P248" s="342">
        <v>123.83357799999897</v>
      </c>
      <c r="Q248" s="343">
        <v>24.147108479999797</v>
      </c>
      <c r="R248" s="343">
        <v>8.4360856359999286</v>
      </c>
      <c r="S248" s="343">
        <v>2.9410255159999754</v>
      </c>
      <c r="T248" s="270">
        <v>0.28000000000000003</v>
      </c>
      <c r="U248" s="270">
        <v>0.02</v>
      </c>
      <c r="X248" s="346">
        <v>616.53293369279402</v>
      </c>
      <c r="Y248" s="344">
        <v>199.19204280959761</v>
      </c>
    </row>
    <row r="249" spans="2:25" ht="17.399999999999999" thickTop="1" thickBot="1">
      <c r="B249" s="103">
        <v>24.299999999999901</v>
      </c>
      <c r="P249" s="342">
        <v>124.85911049999899</v>
      </c>
      <c r="Q249" s="343">
        <v>24.347083679999802</v>
      </c>
      <c r="R249" s="343">
        <v>8.5059494009999312</v>
      </c>
      <c r="S249" s="343">
        <v>2.9653817309999764</v>
      </c>
      <c r="T249" s="270">
        <v>0.28000000000000003</v>
      </c>
      <c r="U249" s="270">
        <v>0.02</v>
      </c>
      <c r="X249" s="346">
        <v>622.67378281919389</v>
      </c>
      <c r="Y249" s="344">
        <v>201.59809045439758</v>
      </c>
    </row>
    <row r="250" spans="2:25" ht="17.399999999999999" thickTop="1" thickBot="1">
      <c r="B250" s="216">
        <v>24.399999999999899</v>
      </c>
      <c r="P250" s="342">
        <v>125.88887199999897</v>
      </c>
      <c r="Q250" s="343">
        <v>24.547883519999797</v>
      </c>
      <c r="R250" s="343">
        <v>8.576101263999929</v>
      </c>
      <c r="S250" s="343">
        <v>2.9898383839999756</v>
      </c>
      <c r="T250" s="270">
        <v>0.28000000000000003</v>
      </c>
      <c r="U250" s="270">
        <v>0.02</v>
      </c>
      <c r="X250" s="346">
        <v>628.85281487039356</v>
      </c>
      <c r="Y250" s="344">
        <v>204.02363201279746</v>
      </c>
    </row>
    <row r="251" spans="2:25" ht="17.399999999999999" thickTop="1" thickBot="1">
      <c r="B251" s="103">
        <v>24.499999999999901</v>
      </c>
      <c r="P251" s="342">
        <v>126.92286249999897</v>
      </c>
      <c r="Q251" s="343">
        <v>24.749507999999796</v>
      </c>
      <c r="R251" s="343">
        <v>8.6465412249999289</v>
      </c>
      <c r="S251" s="343">
        <v>3.0143954749999757</v>
      </c>
      <c r="T251" s="270">
        <v>0.28000000000000003</v>
      </c>
      <c r="U251" s="270">
        <v>0.02</v>
      </c>
      <c r="X251" s="346">
        <v>635.07013559999393</v>
      </c>
      <c r="Y251" s="344">
        <v>206.46874679999758</v>
      </c>
    </row>
    <row r="252" spans="2:25" ht="17.399999999999999" thickTop="1" thickBot="1">
      <c r="B252" s="216">
        <v>24.599999999999898</v>
      </c>
      <c r="P252" s="342">
        <v>127.96108199999894</v>
      </c>
      <c r="Q252" s="343">
        <v>24.95195711999979</v>
      </c>
      <c r="R252" s="343">
        <v>8.7172692839999275</v>
      </c>
      <c r="S252" s="343">
        <v>3.039053003999975</v>
      </c>
      <c r="T252" s="270">
        <v>0.28000000000000003</v>
      </c>
      <c r="U252" s="270">
        <v>0.02</v>
      </c>
      <c r="X252" s="346">
        <v>641.32585076159353</v>
      </c>
      <c r="Y252" s="344">
        <v>208.93351413119743</v>
      </c>
    </row>
    <row r="253" spans="2:25" ht="17.399999999999999" thickTop="1" thickBot="1">
      <c r="B253" s="103">
        <v>24.6999999999999</v>
      </c>
      <c r="P253" s="342">
        <v>129.00353049999896</v>
      </c>
      <c r="Q253" s="343">
        <v>25.155230879999795</v>
      </c>
      <c r="R253" s="343">
        <v>8.7882854409999283</v>
      </c>
      <c r="S253" s="343">
        <v>3.0638109709999752</v>
      </c>
      <c r="T253" s="270">
        <v>0.28999999999999998</v>
      </c>
      <c r="U253" s="270">
        <v>0.02</v>
      </c>
      <c r="X253" s="346">
        <v>647.62006610879371</v>
      </c>
      <c r="Y253" s="344">
        <v>211.41801332159753</v>
      </c>
    </row>
    <row r="254" spans="2:25" ht="17.399999999999999" thickTop="1" thickBot="1">
      <c r="B254" s="216">
        <v>24.799999999999901</v>
      </c>
      <c r="P254" s="342">
        <v>130.05020799999895</v>
      </c>
      <c r="Q254" s="343">
        <v>25.359329279999795</v>
      </c>
      <c r="R254" s="343">
        <v>8.8595896959999294</v>
      </c>
      <c r="S254" s="343">
        <v>3.0886693759999755</v>
      </c>
      <c r="T254" s="270">
        <v>0.28999999999999998</v>
      </c>
      <c r="U254" s="270">
        <v>0.02</v>
      </c>
      <c r="X254" s="346">
        <v>653.95288739519367</v>
      </c>
      <c r="Y254" s="344">
        <v>213.92232368639748</v>
      </c>
    </row>
    <row r="255" spans="2:25" ht="17.399999999999999" thickTop="1" thickBot="1">
      <c r="B255" s="103">
        <v>24.899999999999899</v>
      </c>
      <c r="P255" s="342">
        <v>131.10111449999894</v>
      </c>
      <c r="Q255" s="343">
        <v>25.564252319999792</v>
      </c>
      <c r="R255" s="343">
        <v>8.9311820489999274</v>
      </c>
      <c r="S255" s="343">
        <v>3.1136282189999749</v>
      </c>
      <c r="T255" s="270">
        <v>0.28999999999999998</v>
      </c>
      <c r="U255" s="270">
        <v>0.02</v>
      </c>
      <c r="X255" s="346">
        <v>660.32442037439341</v>
      </c>
      <c r="Y255" s="344">
        <v>216.44652454079741</v>
      </c>
    </row>
    <row r="256" spans="2:25" ht="17.399999999999999" thickTop="1" thickBot="1">
      <c r="B256" s="216">
        <v>24.999999999999901</v>
      </c>
      <c r="P256" s="342">
        <v>132.15624999999895</v>
      </c>
      <c r="Q256" s="343">
        <v>25.769999999999794</v>
      </c>
      <c r="R256" s="343">
        <v>9.0030624999999276</v>
      </c>
      <c r="S256" s="343">
        <v>3.1386874999999748</v>
      </c>
      <c r="T256" s="270">
        <v>0.28999999999999998</v>
      </c>
      <c r="U256" s="270">
        <v>0.02</v>
      </c>
      <c r="X256" s="346">
        <v>666.73477079999361</v>
      </c>
      <c r="Y256" s="344">
        <v>218.99069519999748</v>
      </c>
    </row>
    <row r="257" spans="2:25" ht="17.399999999999999" thickTop="1" thickBot="1">
      <c r="B257" s="103">
        <v>25.099999999999898</v>
      </c>
      <c r="P257" s="342">
        <v>133.21561449999891</v>
      </c>
      <c r="Q257" s="343">
        <v>25.976572319999786</v>
      </c>
      <c r="R257" s="343">
        <v>9.0752310489999264</v>
      </c>
      <c r="S257" s="343">
        <v>3.1638472189999742</v>
      </c>
      <c r="T257" s="270">
        <v>0.3</v>
      </c>
      <c r="U257" s="270">
        <v>0.02</v>
      </c>
      <c r="Y257" s="344">
        <v>221.55491497919732</v>
      </c>
    </row>
    <row r="258" spans="2:25" ht="17.399999999999999" thickTop="1" thickBot="1">
      <c r="B258" s="216">
        <v>25.1999999999999</v>
      </c>
      <c r="P258" s="342">
        <v>134.27920799999893</v>
      </c>
      <c r="Q258" s="343">
        <v>26.18396927999979</v>
      </c>
      <c r="R258" s="343">
        <v>9.1476876959999274</v>
      </c>
      <c r="S258" s="343">
        <v>3.1891073759999746</v>
      </c>
      <c r="T258" s="270">
        <v>0.3</v>
      </c>
      <c r="U258" s="270">
        <v>0.02</v>
      </c>
      <c r="Y258" s="344">
        <v>224.13926319359743</v>
      </c>
    </row>
    <row r="259" spans="2:25" ht="17.399999999999999" thickTop="1" thickBot="1">
      <c r="B259" s="103">
        <v>25.299999999999901</v>
      </c>
      <c r="P259" s="342">
        <v>135.34703049999894</v>
      </c>
      <c r="Q259" s="343">
        <v>26.392190879999795</v>
      </c>
      <c r="R259" s="343">
        <v>9.2204324409999288</v>
      </c>
      <c r="S259" s="343">
        <v>3.2144679709999751</v>
      </c>
      <c r="T259" s="270">
        <v>0.3</v>
      </c>
      <c r="U259" s="270">
        <v>0.02</v>
      </c>
      <c r="Y259" s="344">
        <v>226.74381915839734</v>
      </c>
    </row>
    <row r="260" spans="2:25" ht="17.399999999999999" thickTop="1" thickBot="1">
      <c r="B260" s="216">
        <v>25.399999999999899</v>
      </c>
      <c r="P260" s="342">
        <v>136.41908199999892</v>
      </c>
      <c r="Q260" s="343">
        <v>26.601237119999787</v>
      </c>
      <c r="R260" s="343">
        <v>9.2934652839999252</v>
      </c>
      <c r="S260" s="343">
        <v>3.2399290039999742</v>
      </c>
      <c r="T260" s="270">
        <v>0.3</v>
      </c>
      <c r="U260" s="270">
        <v>0.02</v>
      </c>
      <c r="Y260" s="344">
        <v>229.36866218879729</v>
      </c>
    </row>
    <row r="261" spans="2:25" ht="17.399999999999999" thickTop="1" thickBot="1">
      <c r="B261" s="103">
        <v>25.499999999999901</v>
      </c>
      <c r="P261" s="342">
        <v>137.49536249999892</v>
      </c>
      <c r="Q261" s="343">
        <v>26.811107999999788</v>
      </c>
      <c r="R261" s="343">
        <v>9.3667862249999256</v>
      </c>
      <c r="S261" s="343">
        <v>3.2654904749999742</v>
      </c>
      <c r="T261" s="270">
        <v>0.31</v>
      </c>
      <c r="U261" s="270">
        <v>0.02</v>
      </c>
      <c r="Y261" s="344">
        <v>232.01387159999732</v>
      </c>
    </row>
    <row r="262" spans="2:25" ht="17.399999999999999" thickTop="1" thickBot="1">
      <c r="B262" s="216">
        <v>25.599999999999898</v>
      </c>
      <c r="P262" s="342">
        <v>138.5758719999989</v>
      </c>
      <c r="Q262" s="343">
        <v>27.021803519999782</v>
      </c>
      <c r="R262" s="343">
        <v>9.4403952639999247</v>
      </c>
      <c r="S262" s="343">
        <v>3.2911523839999739</v>
      </c>
      <c r="T262" s="270">
        <v>0.31</v>
      </c>
      <c r="U262" s="270">
        <v>0.02</v>
      </c>
      <c r="Y262" s="344">
        <v>234.67952670719725</v>
      </c>
    </row>
    <row r="263" spans="2:25" ht="17.399999999999999" thickTop="1" thickBot="1">
      <c r="B263" s="103">
        <v>25.6999999999999</v>
      </c>
      <c r="P263" s="342">
        <v>139.66061049999891</v>
      </c>
      <c r="Q263" s="343">
        <v>27.233323679999788</v>
      </c>
      <c r="R263" s="343">
        <v>9.5142924009999259</v>
      </c>
      <c r="S263" s="343">
        <v>3.3169147309999745</v>
      </c>
      <c r="T263" s="270">
        <v>0.31</v>
      </c>
      <c r="U263" s="270">
        <v>0.02</v>
      </c>
      <c r="Y263" s="344">
        <v>237.3657068255973</v>
      </c>
    </row>
    <row r="264" spans="2:25" ht="17.399999999999999" thickTop="1" thickBot="1">
      <c r="B264" s="216">
        <v>25.799999999999901</v>
      </c>
      <c r="P264" s="342">
        <v>140.74957799999891</v>
      </c>
      <c r="Q264" s="343">
        <v>27.445668479999789</v>
      </c>
      <c r="R264" s="343">
        <v>9.5884776359999258</v>
      </c>
      <c r="S264" s="343">
        <v>3.3427775159999742</v>
      </c>
      <c r="T264" s="270">
        <v>0.31</v>
      </c>
      <c r="U264" s="270">
        <v>0.02</v>
      </c>
      <c r="Y264" s="344">
        <v>240.07249127039728</v>
      </c>
    </row>
    <row r="265" spans="2:25" ht="17.399999999999999" thickTop="1" thickBot="1">
      <c r="B265" s="103">
        <v>25.899999999999899</v>
      </c>
      <c r="P265" s="342">
        <v>141.84277449999891</v>
      </c>
      <c r="Q265" s="343">
        <v>27.658837919999787</v>
      </c>
      <c r="R265" s="343">
        <v>9.662950968999926</v>
      </c>
      <c r="S265" s="343">
        <v>3.3687407389999739</v>
      </c>
      <c r="T265" s="270">
        <v>0.32</v>
      </c>
      <c r="U265" s="270">
        <v>0.02</v>
      </c>
      <c r="Y265" s="344">
        <v>242.79995935679716</v>
      </c>
    </row>
    <row r="266" spans="2:25" ht="17.399999999999999" thickTop="1" thickBot="1">
      <c r="B266" s="216">
        <v>25.999999999999901</v>
      </c>
      <c r="P266" s="342">
        <v>142.9401999999989</v>
      </c>
      <c r="Q266" s="343">
        <v>27.872831999999782</v>
      </c>
      <c r="R266" s="343">
        <v>9.7377123999999249</v>
      </c>
      <c r="S266" s="343">
        <v>3.3948043999999737</v>
      </c>
      <c r="T266" s="270">
        <v>0.32</v>
      </c>
      <c r="U266" s="270">
        <v>0.03</v>
      </c>
      <c r="Y266" s="344">
        <v>245.54819039999725</v>
      </c>
    </row>
    <row r="267" spans="2:25" ht="17.399999999999999" thickTop="1" thickBot="1">
      <c r="B267" s="103">
        <v>26.099999999999898</v>
      </c>
      <c r="P267" s="342">
        <v>144.04185449999889</v>
      </c>
      <c r="Q267" s="343">
        <v>28.087650719999779</v>
      </c>
      <c r="R267" s="343">
        <v>9.8127619289999242</v>
      </c>
      <c r="S267" s="343">
        <v>3.4209684989999736</v>
      </c>
      <c r="T267" s="270">
        <v>0.32</v>
      </c>
      <c r="U267" s="270">
        <v>0.03</v>
      </c>
      <c r="Y267" s="344">
        <v>248.31726371519713</v>
      </c>
    </row>
    <row r="268" spans="2:25" ht="17.399999999999999" thickTop="1" thickBot="1">
      <c r="B268" s="216">
        <v>26.1999999999999</v>
      </c>
      <c r="P268" s="342">
        <v>145.14773799999887</v>
      </c>
      <c r="Q268" s="343">
        <v>28.30329407999978</v>
      </c>
      <c r="R268" s="343">
        <v>9.8880995559999239</v>
      </c>
      <c r="S268" s="343">
        <v>3.4472330359999734</v>
      </c>
      <c r="T268" s="270">
        <v>0.32</v>
      </c>
      <c r="U268" s="270">
        <v>0.03</v>
      </c>
      <c r="Y268" s="344">
        <v>251.10725861759718</v>
      </c>
    </row>
    <row r="269" spans="2:25" ht="17.399999999999999" thickTop="1" thickBot="1">
      <c r="B269" s="103">
        <v>26.299999999999901</v>
      </c>
      <c r="P269" s="342">
        <v>146.25785049999891</v>
      </c>
      <c r="Q269" s="343">
        <v>28.519762079999786</v>
      </c>
      <c r="R269" s="343">
        <v>9.9637252809999257</v>
      </c>
      <c r="S269" s="343">
        <v>3.4735980109999742</v>
      </c>
      <c r="T269" s="270">
        <v>0.33</v>
      </c>
      <c r="U269" s="270">
        <v>0.03</v>
      </c>
      <c r="Y269" s="344">
        <v>253.91825442239718</v>
      </c>
    </row>
    <row r="270" spans="2:25" ht="17.399999999999999" thickTop="1" thickBot="1">
      <c r="B270" s="216">
        <v>26.399999999999899</v>
      </c>
      <c r="P270" s="342">
        <v>147.37219199999888</v>
      </c>
      <c r="Q270" s="343">
        <v>28.737054719999779</v>
      </c>
      <c r="R270" s="343">
        <v>10.039639103999924</v>
      </c>
      <c r="S270" s="343">
        <v>3.5000634239999733</v>
      </c>
      <c r="T270" s="270">
        <v>0.33</v>
      </c>
      <c r="U270" s="270">
        <v>0.03</v>
      </c>
      <c r="Y270" s="344">
        <v>256.7503304447971</v>
      </c>
    </row>
    <row r="271" spans="2:25" ht="17.399999999999999" thickTop="1" thickBot="1">
      <c r="B271" s="103">
        <v>26.499999999999901</v>
      </c>
      <c r="P271" s="342">
        <v>148.49076249999888</v>
      </c>
      <c r="Q271" s="343">
        <v>28.955171999999784</v>
      </c>
      <c r="R271" s="343">
        <v>10.115841024999925</v>
      </c>
      <c r="S271" s="343">
        <v>3.5266292749999737</v>
      </c>
      <c r="T271" s="270">
        <v>0.33</v>
      </c>
      <c r="U271" s="270">
        <v>0.03</v>
      </c>
      <c r="Y271" s="344">
        <v>259.60356599999716</v>
      </c>
    </row>
    <row r="272" spans="2:25" ht="17.399999999999999" thickTop="1" thickBot="1">
      <c r="B272" s="216">
        <v>26.599999999999898</v>
      </c>
      <c r="P272" s="342">
        <v>149.61356199999886</v>
      </c>
      <c r="Q272" s="343">
        <v>29.174113919999776</v>
      </c>
      <c r="R272" s="343">
        <v>10.192331043999923</v>
      </c>
      <c r="S272" s="343">
        <v>3.5532955639999728</v>
      </c>
      <c r="T272" s="270">
        <v>0.33</v>
      </c>
      <c r="U272" s="270">
        <v>0.03</v>
      </c>
      <c r="Y272" s="344">
        <v>262.47804040319704</v>
      </c>
    </row>
    <row r="273" spans="2:25" ht="17.399999999999999" thickTop="1" thickBot="1">
      <c r="B273" s="103">
        <v>26.6999999999999</v>
      </c>
      <c r="P273" s="342">
        <v>150.74059049999886</v>
      </c>
      <c r="Q273" s="343">
        <v>29.393880479999776</v>
      </c>
      <c r="R273" s="343">
        <v>10.269109160999923</v>
      </c>
      <c r="S273" s="343">
        <v>3.5800622909999733</v>
      </c>
      <c r="T273" s="270">
        <v>0.34</v>
      </c>
      <c r="U273" s="270">
        <v>0.03</v>
      </c>
      <c r="Y273" s="344">
        <v>265.37383296959706</v>
      </c>
    </row>
    <row r="274" spans="2:25" ht="17.399999999999999" thickTop="1" thickBot="1">
      <c r="B274" s="216">
        <v>26.799999999999901</v>
      </c>
      <c r="P274" s="342">
        <v>151.87184799999886</v>
      </c>
      <c r="Q274" s="343">
        <v>29.614471679999777</v>
      </c>
      <c r="R274" s="343">
        <v>10.346175375999923</v>
      </c>
      <c r="S274" s="343">
        <v>3.6069294559999734</v>
      </c>
      <c r="T274" s="270">
        <v>0.34</v>
      </c>
      <c r="U274" s="270">
        <v>0.03</v>
      </c>
      <c r="Y274" s="344">
        <v>268.29102301439713</v>
      </c>
    </row>
    <row r="275" spans="2:25" ht="17.399999999999999" thickTop="1" thickBot="1">
      <c r="B275" s="103">
        <v>26.899999999999899</v>
      </c>
      <c r="P275" s="342">
        <v>153.00733449999885</v>
      </c>
      <c r="Q275" s="343">
        <v>29.835887519999773</v>
      </c>
      <c r="R275" s="343">
        <v>10.423529688999922</v>
      </c>
      <c r="S275" s="343">
        <v>3.6338970589999726</v>
      </c>
      <c r="T275" s="270">
        <v>0.34</v>
      </c>
      <c r="U275" s="270">
        <v>0.03</v>
      </c>
      <c r="Y275" s="344">
        <v>271.22968985279698</v>
      </c>
    </row>
    <row r="276" spans="2:25" ht="17.399999999999999" thickTop="1" thickBot="1">
      <c r="B276" s="216">
        <v>26.999999999999901</v>
      </c>
      <c r="P276" s="342">
        <v>154.14704999999887</v>
      </c>
      <c r="Q276" s="343">
        <v>30.05812799999978</v>
      </c>
      <c r="R276" s="343">
        <v>10.501172099999923</v>
      </c>
      <c r="S276" s="343">
        <v>3.6609650999999732</v>
      </c>
      <c r="T276" s="270">
        <v>0.34</v>
      </c>
      <c r="U276" s="270">
        <v>0.03</v>
      </c>
      <c r="Y276" s="344">
        <v>274.1899127999971</v>
      </c>
    </row>
    <row r="277" spans="2:25" ht="17.399999999999999" thickTop="1" thickBot="1">
      <c r="B277" s="103">
        <v>27.099999999999898</v>
      </c>
      <c r="P277" s="342">
        <v>155.29099449999885</v>
      </c>
      <c r="Q277" s="343">
        <v>30.281193119999774</v>
      </c>
      <c r="R277" s="343">
        <v>10.579102608999921</v>
      </c>
      <c r="S277" s="343">
        <v>3.6881335789999725</v>
      </c>
      <c r="T277" s="270">
        <v>0.35</v>
      </c>
      <c r="U277" s="270">
        <v>0.03</v>
      </c>
      <c r="Y277" s="344">
        <v>277.17177117119695</v>
      </c>
    </row>
    <row r="278" spans="2:25" ht="17.399999999999999" thickTop="1" thickBot="1">
      <c r="B278" s="216">
        <v>27.1999999999999</v>
      </c>
      <c r="P278" s="342">
        <v>156.43916799999886</v>
      </c>
      <c r="Q278" s="343">
        <v>30.505082879999776</v>
      </c>
      <c r="R278" s="343">
        <v>10.657321215999922</v>
      </c>
      <c r="S278" s="343">
        <v>3.7154024959999727</v>
      </c>
      <c r="T278" s="270">
        <v>0.35</v>
      </c>
      <c r="U278" s="270">
        <v>0.03</v>
      </c>
      <c r="Y278" s="344">
        <v>280.17534428159706</v>
      </c>
    </row>
    <row r="279" spans="2:25" ht="17.399999999999999" thickTop="1" thickBot="1">
      <c r="B279" s="103">
        <v>27.299999999999901</v>
      </c>
      <c r="P279" s="342">
        <v>157.59157049999885</v>
      </c>
      <c r="Q279" s="343">
        <v>30.729797279999776</v>
      </c>
      <c r="R279" s="343">
        <v>10.735827920999922</v>
      </c>
      <c r="S279" s="343">
        <v>3.742771850999973</v>
      </c>
      <c r="T279" s="270">
        <v>0.35</v>
      </c>
      <c r="U279" s="270">
        <v>0.03</v>
      </c>
      <c r="Y279" s="344">
        <v>283.20071144639695</v>
      </c>
    </row>
    <row r="280" spans="2:25" ht="17.399999999999999" thickTop="1" thickBot="1">
      <c r="B280" s="216">
        <v>27.399999999999899</v>
      </c>
      <c r="P280" s="342">
        <v>158.74820199999883</v>
      </c>
      <c r="Q280" s="343">
        <v>30.95533631999977</v>
      </c>
      <c r="R280" s="343">
        <v>10.81462272399992</v>
      </c>
      <c r="S280" s="343">
        <v>3.770241643999972</v>
      </c>
      <c r="T280" s="270">
        <v>0.35</v>
      </c>
      <c r="U280" s="270">
        <v>0.03</v>
      </c>
      <c r="Y280" s="344">
        <v>286.24795198079681</v>
      </c>
    </row>
    <row r="281" spans="2:25" ht="17.399999999999999" thickTop="1" thickBot="1">
      <c r="B281" s="103">
        <v>27.499999999999901</v>
      </c>
      <c r="P281" s="342">
        <v>159.90906249999884</v>
      </c>
      <c r="Q281" s="343">
        <v>31.181699999999772</v>
      </c>
      <c r="R281" s="343">
        <v>10.893705624999921</v>
      </c>
      <c r="S281" s="343">
        <v>3.7978118749999727</v>
      </c>
      <c r="T281" s="270">
        <v>0.36</v>
      </c>
      <c r="U281" s="270">
        <v>0.03</v>
      </c>
      <c r="Y281" s="344">
        <v>289.31714519999684</v>
      </c>
    </row>
    <row r="282" spans="2:25" ht="17.399999999999999" thickTop="1" thickBot="1">
      <c r="B282" s="216">
        <v>27.599999999999898</v>
      </c>
      <c r="P282" s="342">
        <v>161.07415199999883</v>
      </c>
      <c r="Q282" s="343">
        <v>31.408888319999768</v>
      </c>
      <c r="R282" s="343">
        <v>10.973076623999919</v>
      </c>
      <c r="S282" s="343">
        <v>3.8254825439999722</v>
      </c>
      <c r="T282" s="270">
        <v>0.36</v>
      </c>
      <c r="U282" s="270">
        <v>0.03</v>
      </c>
      <c r="Y282" s="344">
        <v>292.40837041919679</v>
      </c>
    </row>
    <row r="283" spans="2:25" ht="17.399999999999999" thickTop="1" thickBot="1">
      <c r="B283" s="103">
        <v>27.6999999999999</v>
      </c>
      <c r="P283" s="342">
        <v>162.24347049999881</v>
      </c>
      <c r="Q283" s="343">
        <v>31.636901279999766</v>
      </c>
      <c r="R283" s="343">
        <v>11.05273572099992</v>
      </c>
      <c r="S283" s="343">
        <v>3.8532536509999717</v>
      </c>
      <c r="T283" s="270">
        <v>0.36</v>
      </c>
      <c r="U283" s="270">
        <v>0.03</v>
      </c>
      <c r="Y283" s="344">
        <v>295.52170695359689</v>
      </c>
    </row>
    <row r="284" spans="2:25" ht="17.399999999999999" thickTop="1" thickBot="1">
      <c r="B284" s="216">
        <v>27.799999999999901</v>
      </c>
      <c r="P284" s="342">
        <v>163.41701799999882</v>
      </c>
      <c r="Q284" s="343">
        <v>31.865738879999771</v>
      </c>
      <c r="R284" s="343">
        <v>11.13268291599992</v>
      </c>
      <c r="S284" s="343">
        <v>3.8811251959999722</v>
      </c>
      <c r="T284" s="270">
        <v>0.36</v>
      </c>
      <c r="U284" s="270">
        <v>0.03</v>
      </c>
      <c r="Y284" s="344">
        <v>298.6572341183969</v>
      </c>
    </row>
    <row r="285" spans="2:25" ht="17.399999999999999" thickTop="1" thickBot="1">
      <c r="B285" s="103">
        <v>27.899999999999899</v>
      </c>
      <c r="P285" s="342">
        <v>164.59479449999881</v>
      </c>
      <c r="Q285" s="343">
        <v>32.095401119999764</v>
      </c>
      <c r="R285" s="343">
        <v>11.21291820899992</v>
      </c>
      <c r="S285" s="343">
        <v>3.9090971789999718</v>
      </c>
      <c r="T285" s="270">
        <v>0.37</v>
      </c>
      <c r="U285" s="270">
        <v>0.03</v>
      </c>
      <c r="Y285" s="344">
        <v>301.81503122879673</v>
      </c>
    </row>
    <row r="286" spans="2:25" ht="17.399999999999999" thickTop="1" thickBot="1">
      <c r="B286" s="216">
        <v>27.999999999999901</v>
      </c>
      <c r="P286" s="342">
        <v>165.77679999999881</v>
      </c>
      <c r="Q286" s="343">
        <v>32.325887999999772</v>
      </c>
      <c r="R286" s="343">
        <v>11.29344159999992</v>
      </c>
      <c r="S286" s="343">
        <v>3.9371695999999723</v>
      </c>
      <c r="T286" s="270">
        <v>0.37</v>
      </c>
      <c r="U286" s="270">
        <v>0.03</v>
      </c>
      <c r="Y286" s="344">
        <v>304.99517759999679</v>
      </c>
    </row>
    <row r="287" spans="2:25" ht="17.399999999999999" thickTop="1" thickBot="1">
      <c r="B287" s="103">
        <v>28.099999999999898</v>
      </c>
      <c r="P287" s="342">
        <v>166.9630344999988</v>
      </c>
      <c r="Q287" s="343">
        <v>32.557199519999763</v>
      </c>
      <c r="R287" s="343">
        <v>11.374253088999918</v>
      </c>
      <c r="S287" s="343">
        <v>3.9653424589999715</v>
      </c>
      <c r="T287" s="270">
        <v>0.37</v>
      </c>
      <c r="U287" s="270">
        <v>0.03</v>
      </c>
      <c r="Y287" s="344">
        <v>308.19775254719667</v>
      </c>
    </row>
    <row r="288" spans="2:25" ht="17.399999999999999" thickTop="1" thickBot="1">
      <c r="B288" s="216">
        <v>28.1999999999999</v>
      </c>
      <c r="P288" s="342">
        <v>168.15349799999879</v>
      </c>
      <c r="Q288" s="343">
        <v>32.789335679999766</v>
      </c>
      <c r="R288" s="343">
        <v>11.455352675999919</v>
      </c>
      <c r="S288" s="343">
        <v>3.9936157559999717</v>
      </c>
      <c r="T288" s="270">
        <v>0.37</v>
      </c>
      <c r="U288" s="270">
        <v>0.03</v>
      </c>
      <c r="Y288" s="344">
        <v>311.42283538559678</v>
      </c>
    </row>
    <row r="289" spans="2:25" ht="17.399999999999999" thickTop="1" thickBot="1">
      <c r="B289" s="103">
        <v>28.299999999999901</v>
      </c>
      <c r="P289" s="342">
        <v>169.34819049999882</v>
      </c>
      <c r="Q289" s="343">
        <v>33.022296479999767</v>
      </c>
      <c r="R289" s="343">
        <v>11.53674036099992</v>
      </c>
      <c r="S289" s="343">
        <v>4.0219894909999718</v>
      </c>
      <c r="T289" s="270">
        <v>0.38</v>
      </c>
      <c r="U289" s="270">
        <v>0.03</v>
      </c>
      <c r="Y289" s="344">
        <v>314.67050543039676</v>
      </c>
    </row>
    <row r="290" spans="2:25" ht="17.399999999999999" thickTop="1" thickBot="1">
      <c r="B290" s="216">
        <v>28.399999999999899</v>
      </c>
      <c r="P290" s="342">
        <v>170.54711199999878</v>
      </c>
      <c r="Q290" s="343">
        <v>33.256081919999758</v>
      </c>
      <c r="R290" s="343">
        <v>11.618416143999918</v>
      </c>
      <c r="S290" s="343">
        <v>4.0504636639999712</v>
      </c>
      <c r="T290" s="270">
        <v>0.38</v>
      </c>
      <c r="U290" s="270">
        <v>0.03</v>
      </c>
      <c r="Y290" s="344">
        <v>317.94084199679662</v>
      </c>
    </row>
    <row r="291" spans="2:25" ht="17.399999999999999" thickTop="1" thickBot="1">
      <c r="B291" s="103">
        <v>28.499999999999901</v>
      </c>
      <c r="P291" s="342">
        <v>171.7502624999988</v>
      </c>
      <c r="Q291" s="343">
        <v>33.490691999999761</v>
      </c>
      <c r="R291" s="343">
        <v>11.700380024999918</v>
      </c>
      <c r="S291" s="343">
        <v>4.0790382749999718</v>
      </c>
      <c r="T291" s="270">
        <v>0.38</v>
      </c>
      <c r="U291" s="270">
        <v>0.03</v>
      </c>
      <c r="Y291" s="344">
        <v>321.23392439999674</v>
      </c>
    </row>
    <row r="292" spans="2:25" ht="17.399999999999999" thickTop="1" thickBot="1">
      <c r="B292" s="216">
        <v>28.599999999999898</v>
      </c>
      <c r="P292" s="342">
        <v>172.95764199999877</v>
      </c>
      <c r="Q292" s="343">
        <v>33.726126719999762</v>
      </c>
      <c r="R292" s="343">
        <v>11.782632003999916</v>
      </c>
      <c r="S292" s="343">
        <v>4.1077133239999712</v>
      </c>
      <c r="T292" s="270">
        <v>0.38</v>
      </c>
      <c r="U292" s="270">
        <v>0.03</v>
      </c>
      <c r="Y292" s="344">
        <v>324.54983195519657</v>
      </c>
    </row>
    <row r="293" spans="2:25" ht="17.399999999999999" thickTop="1" thickBot="1">
      <c r="B293" s="103">
        <v>28.6999999999999</v>
      </c>
      <c r="P293" s="342">
        <v>174.16925049999878</v>
      </c>
      <c r="Q293" s="343">
        <v>33.96238607999976</v>
      </c>
      <c r="R293" s="343">
        <v>11.865172080999917</v>
      </c>
      <c r="S293" s="343">
        <v>4.1364888109999711</v>
      </c>
      <c r="T293" s="270">
        <v>0.39</v>
      </c>
      <c r="U293" s="270">
        <v>0.03</v>
      </c>
      <c r="Y293" s="344">
        <v>327.88864397759664</v>
      </c>
    </row>
    <row r="294" spans="2:25" ht="17.399999999999999" thickTop="1" thickBot="1">
      <c r="B294" s="216">
        <v>28.799999999999901</v>
      </c>
      <c r="P294" s="342">
        <v>175.38508799999877</v>
      </c>
      <c r="Q294" s="343">
        <v>34.199470079999763</v>
      </c>
      <c r="R294" s="343">
        <v>11.948000255999917</v>
      </c>
      <c r="S294" s="343">
        <v>4.1653647359999715</v>
      </c>
      <c r="T294" s="270">
        <v>0.39</v>
      </c>
      <c r="U294" s="270">
        <v>0.03</v>
      </c>
      <c r="Y294" s="344">
        <v>331.2504397823966</v>
      </c>
    </row>
    <row r="295" spans="2:25" ht="17.399999999999999" thickTop="1" thickBot="1">
      <c r="B295" s="103">
        <v>28.899999999999899</v>
      </c>
      <c r="P295" s="342">
        <v>176.60515449999875</v>
      </c>
      <c r="Q295" s="343">
        <v>34.437378719999757</v>
      </c>
      <c r="R295" s="343">
        <v>12.031116528999915</v>
      </c>
      <c r="S295" s="343">
        <v>4.1943410989999705</v>
      </c>
      <c r="T295" s="270">
        <v>0.39</v>
      </c>
      <c r="U295" s="270">
        <v>0.03</v>
      </c>
      <c r="Y295" s="344">
        <v>334.63529868479651</v>
      </c>
    </row>
    <row r="296" spans="2:25" ht="17.399999999999999" thickTop="1" thickBot="1">
      <c r="B296" s="216">
        <v>28.999999999999901</v>
      </c>
      <c r="P296" s="342">
        <v>177.82944999999879</v>
      </c>
      <c r="Q296" s="343">
        <v>34.676111999999762</v>
      </c>
      <c r="R296" s="343">
        <v>12.114520899999917</v>
      </c>
      <c r="S296" s="343">
        <v>4.223417899999971</v>
      </c>
      <c r="T296" s="270">
        <v>0.4</v>
      </c>
      <c r="U296" s="270">
        <v>0.03</v>
      </c>
      <c r="Y296" s="344">
        <v>338.04329999999663</v>
      </c>
    </row>
    <row r="297" spans="2:25" ht="17.399999999999999" thickTop="1" thickBot="1">
      <c r="B297" s="103">
        <v>29.099999999999898</v>
      </c>
      <c r="P297" s="342">
        <v>179.05797449999875</v>
      </c>
      <c r="Q297" s="343">
        <v>34.91566991999975</v>
      </c>
      <c r="R297" s="343">
        <v>12.198213368999914</v>
      </c>
      <c r="S297" s="343">
        <v>4.2525951389999701</v>
      </c>
      <c r="T297" s="270">
        <v>0.4</v>
      </c>
      <c r="U297" s="270">
        <v>0.03</v>
      </c>
      <c r="Y297" s="344">
        <v>341.47452304319643</v>
      </c>
    </row>
    <row r="298" spans="2:25" ht="17.399999999999999" thickTop="1" thickBot="1">
      <c r="B298" s="216">
        <v>29.1999999999999</v>
      </c>
      <c r="P298" s="342">
        <v>180.29072799999878</v>
      </c>
      <c r="Q298" s="343">
        <v>35.156052479999758</v>
      </c>
      <c r="R298" s="343">
        <v>12.282193935999917</v>
      </c>
      <c r="S298" s="343">
        <v>4.2818728159999706</v>
      </c>
      <c r="T298" s="270">
        <v>0.4</v>
      </c>
      <c r="U298" s="270">
        <v>0.03</v>
      </c>
      <c r="Y298" s="344">
        <v>344.92904712959654</v>
      </c>
    </row>
    <row r="299" spans="2:25" ht="17.399999999999999" thickTop="1" thickBot="1">
      <c r="B299" s="103">
        <v>29.299999999999901</v>
      </c>
      <c r="P299" s="342">
        <v>181.52771049999876</v>
      </c>
      <c r="Q299" s="343">
        <v>35.397259679999756</v>
      </c>
      <c r="R299" s="343">
        <v>12.366462600999917</v>
      </c>
      <c r="S299" s="343">
        <v>4.3112509309999707</v>
      </c>
      <c r="T299" s="270">
        <v>0.4</v>
      </c>
      <c r="U299" s="270">
        <v>0.03</v>
      </c>
      <c r="Y299" s="344">
        <v>348.40695157439649</v>
      </c>
    </row>
    <row r="300" spans="2:25" ht="17.399999999999999" thickTop="1" thickBot="1">
      <c r="B300" s="216">
        <v>29.399999999999899</v>
      </c>
      <c r="P300" s="342">
        <v>182.76892199999875</v>
      </c>
      <c r="Q300" s="343">
        <v>35.639291519999752</v>
      </c>
      <c r="R300" s="343">
        <v>12.451019363999915</v>
      </c>
      <c r="S300" s="343">
        <v>4.3407294839999704</v>
      </c>
      <c r="T300" s="270">
        <v>0.41</v>
      </c>
      <c r="U300" s="270">
        <v>0.03</v>
      </c>
      <c r="Y300" s="344">
        <v>351.90831569279629</v>
      </c>
    </row>
    <row r="301" spans="2:25" ht="17.399999999999999" thickTop="1" thickBot="1">
      <c r="B301" s="103">
        <v>29.499999999999901</v>
      </c>
      <c r="P301" s="342">
        <v>184.01436249999875</v>
      </c>
      <c r="Q301" s="343">
        <v>35.882147999999752</v>
      </c>
      <c r="R301" s="343">
        <v>12.535864224999916</v>
      </c>
      <c r="S301" s="343">
        <v>4.3703084749999705</v>
      </c>
      <c r="T301" s="270">
        <v>0.41</v>
      </c>
      <c r="U301" s="270">
        <v>0.03</v>
      </c>
      <c r="Y301" s="344">
        <v>355.43321879999644</v>
      </c>
    </row>
    <row r="302" spans="2:25" ht="17.399999999999999" thickTop="1" thickBot="1">
      <c r="B302" s="216">
        <v>29.599999999999898</v>
      </c>
      <c r="P302" s="342">
        <v>185.26403199999871</v>
      </c>
      <c r="Q302" s="343">
        <v>36.12582911999975</v>
      </c>
      <c r="R302" s="343">
        <v>12.620997183999913</v>
      </c>
      <c r="S302" s="343">
        <v>4.3999879039999694</v>
      </c>
      <c r="T302" s="270">
        <v>0.41</v>
      </c>
      <c r="U302" s="270">
        <v>0.03</v>
      </c>
      <c r="Y302" s="344">
        <v>358.98174021119627</v>
      </c>
    </row>
    <row r="303" spans="2:25" ht="17.399999999999999" thickTop="1" thickBot="1">
      <c r="B303" s="103">
        <v>29.6999999999999</v>
      </c>
      <c r="P303" s="342">
        <v>186.51793049999873</v>
      </c>
      <c r="Q303" s="343">
        <v>36.370334879999753</v>
      </c>
      <c r="R303" s="343">
        <v>12.706418240999914</v>
      </c>
      <c r="S303" s="343">
        <v>4.4297677709999697</v>
      </c>
      <c r="T303" s="270">
        <v>0.41</v>
      </c>
      <c r="U303" s="270">
        <v>0.03</v>
      </c>
      <c r="Y303" s="344">
        <v>362.55395924159643</v>
      </c>
    </row>
    <row r="304" spans="2:25" ht="17.399999999999999" thickTop="1" thickBot="1">
      <c r="B304" s="216">
        <v>29.799999999999901</v>
      </c>
      <c r="P304" s="342">
        <v>187.77605799999876</v>
      </c>
      <c r="Q304" s="343">
        <v>36.61566527999976</v>
      </c>
      <c r="R304" s="343">
        <v>12.792127395999916</v>
      </c>
      <c r="S304" s="343">
        <v>4.4596480759999713</v>
      </c>
      <c r="T304" s="270">
        <v>0.42</v>
      </c>
      <c r="U304" s="270">
        <v>0.03</v>
      </c>
      <c r="Y304" s="344">
        <v>366.14995520639644</v>
      </c>
    </row>
    <row r="305" spans="2:25" ht="17.399999999999999" thickTop="1" thickBot="1">
      <c r="B305" s="103">
        <v>29.899999999999899</v>
      </c>
      <c r="P305" s="342">
        <v>189.03841449999874</v>
      </c>
      <c r="Q305" s="343">
        <v>36.861820319999751</v>
      </c>
      <c r="R305" s="343">
        <v>12.878124648999913</v>
      </c>
      <c r="S305" s="343">
        <v>4.4896288189999698</v>
      </c>
      <c r="T305" s="270">
        <v>0.42</v>
      </c>
      <c r="U305" s="270">
        <v>0.03</v>
      </c>
      <c r="Y305" s="344">
        <v>369.76980742079621</v>
      </c>
    </row>
    <row r="306" spans="2:25" ht="17.399999999999999" thickTop="1" thickBot="1">
      <c r="B306" s="216">
        <v>29.999999999999901</v>
      </c>
      <c r="P306" s="342">
        <v>190.30499999999876</v>
      </c>
      <c r="Q306" s="343">
        <v>37.108799999999754</v>
      </c>
      <c r="R306" s="343">
        <v>12.964409999999916</v>
      </c>
      <c r="S306" s="343">
        <v>4.5197099999999706</v>
      </c>
      <c r="T306" s="270">
        <v>0.42</v>
      </c>
      <c r="U306" s="270">
        <v>0.03</v>
      </c>
      <c r="Y306" s="344">
        <v>373.41359519999628</v>
      </c>
    </row>
    <row r="307" spans="2:25" ht="17.399999999999999" thickTop="1" thickBot="1">
      <c r="B307" s="103">
        <v>30.099999999999898</v>
      </c>
      <c r="P307" s="342">
        <v>191.5758144999987</v>
      </c>
      <c r="Q307" s="343">
        <v>37.356604319999747</v>
      </c>
      <c r="R307" s="343">
        <v>13.050983448999911</v>
      </c>
      <c r="S307" s="343">
        <v>4.5498916189999692</v>
      </c>
      <c r="T307" s="270">
        <v>0.43</v>
      </c>
      <c r="U307" s="270">
        <v>0.03</v>
      </c>
      <c r="Y307" s="344">
        <v>377.08139785919622</v>
      </c>
    </row>
    <row r="308" spans="2:25" ht="17.399999999999999" thickTop="1" thickBot="1">
      <c r="B308" s="216">
        <v>30.1999999999999</v>
      </c>
      <c r="P308" s="342">
        <v>192.85085799999871</v>
      </c>
      <c r="Q308" s="343">
        <v>37.605233279999752</v>
      </c>
      <c r="R308" s="343">
        <v>13.137844995999913</v>
      </c>
      <c r="S308" s="343">
        <v>4.5801736759999701</v>
      </c>
      <c r="T308" s="270">
        <v>0.43</v>
      </c>
      <c r="U308" s="270">
        <v>0.03</v>
      </c>
      <c r="Y308" s="344">
        <v>380.77329471359627</v>
      </c>
    </row>
    <row r="309" spans="2:25" ht="17.399999999999999" thickTop="1" thickBot="1">
      <c r="B309" s="103">
        <v>30.299999999999901</v>
      </c>
      <c r="P309" s="342">
        <v>194.13013049999873</v>
      </c>
      <c r="Q309" s="343">
        <v>37.854686879999754</v>
      </c>
      <c r="R309" s="343">
        <v>13.224994640999913</v>
      </c>
      <c r="S309" s="343">
        <v>4.6105561709999696</v>
      </c>
      <c r="T309" s="270">
        <v>0.43</v>
      </c>
      <c r="U309" s="270">
        <v>0.03</v>
      </c>
      <c r="Y309" s="344">
        <v>384.4893650783963</v>
      </c>
    </row>
    <row r="310" spans="2:25" ht="17.399999999999999" thickTop="1" thickBot="1">
      <c r="B310" s="216">
        <v>30.399999999999899</v>
      </c>
      <c r="P310" s="342">
        <v>195.4136319999987</v>
      </c>
      <c r="Q310" s="343">
        <v>38.104965119999747</v>
      </c>
      <c r="R310" s="343">
        <v>13.31243238399991</v>
      </c>
      <c r="S310" s="343">
        <v>4.6410391039999688</v>
      </c>
      <c r="T310" s="270">
        <v>0.43</v>
      </c>
      <c r="U310" s="270">
        <v>0.03</v>
      </c>
      <c r="Y310" s="344">
        <v>388.22968826879617</v>
      </c>
    </row>
    <row r="311" spans="2:25" ht="17.399999999999999" thickTop="1" thickBot="1">
      <c r="B311" s="103">
        <v>30.499999999999901</v>
      </c>
      <c r="P311" s="342">
        <v>196.70136249999874</v>
      </c>
      <c r="Q311" s="343">
        <v>38.356067999999752</v>
      </c>
      <c r="R311" s="343">
        <v>13.400158224999913</v>
      </c>
      <c r="S311" s="343">
        <v>4.6716224749999702</v>
      </c>
      <c r="T311" s="270">
        <v>0.44</v>
      </c>
      <c r="U311" s="270">
        <v>0.03</v>
      </c>
      <c r="Y311" s="344">
        <v>391.99434359999628</v>
      </c>
    </row>
    <row r="312" spans="2:25" ht="17.399999999999999" thickTop="1" thickBot="1">
      <c r="B312" s="216">
        <v>30.599999999999898</v>
      </c>
      <c r="P312" s="342">
        <v>197.99332199999867</v>
      </c>
      <c r="Q312" s="343">
        <v>38.60799551999974</v>
      </c>
      <c r="R312" s="343">
        <v>13.488172163999909</v>
      </c>
      <c r="S312" s="343">
        <v>4.7023062839999685</v>
      </c>
      <c r="T312" s="270">
        <v>0.44</v>
      </c>
      <c r="U312" s="270">
        <v>0.03</v>
      </c>
      <c r="Y312" s="344">
        <v>395.78341038719606</v>
      </c>
    </row>
    <row r="313" spans="2:25" ht="17.399999999999999" thickTop="1" thickBot="1">
      <c r="B313" s="103">
        <v>30.6999999999999</v>
      </c>
      <c r="P313" s="342">
        <v>199.2895104999987</v>
      </c>
      <c r="Q313" s="343">
        <v>38.860747679999747</v>
      </c>
      <c r="R313" s="343">
        <v>13.576474200999911</v>
      </c>
      <c r="S313" s="343">
        <v>4.7330905309999691</v>
      </c>
      <c r="T313" s="270">
        <v>0.44</v>
      </c>
      <c r="U313" s="270">
        <v>0.03</v>
      </c>
      <c r="Y313" s="344">
        <v>399.59696794559619</v>
      </c>
    </row>
    <row r="314" spans="2:25" ht="17.399999999999999" thickTop="1" thickBot="1">
      <c r="B314" s="216">
        <v>30.799999999999901</v>
      </c>
      <c r="P314" s="342">
        <v>200.58992799999874</v>
      </c>
      <c r="Q314" s="343">
        <v>39.114324479999752</v>
      </c>
      <c r="R314" s="343">
        <v>13.665064335999913</v>
      </c>
      <c r="S314" s="343">
        <v>4.7639752159999702</v>
      </c>
      <c r="T314" s="270">
        <v>0.45</v>
      </c>
      <c r="U314" s="270">
        <v>0.04</v>
      </c>
      <c r="Y314" s="344">
        <v>403.43509559039609</v>
      </c>
    </row>
    <row r="315" spans="2:25" ht="17.399999999999999" thickTop="1" thickBot="1">
      <c r="B315" s="103">
        <v>30.899999999999899</v>
      </c>
      <c r="P315" s="342">
        <v>201.8945744999987</v>
      </c>
      <c r="Q315" s="343">
        <v>39.36872591999974</v>
      </c>
      <c r="R315" s="343">
        <v>13.753942568999911</v>
      </c>
      <c r="S315" s="343">
        <v>4.7949603389999691</v>
      </c>
      <c r="T315" s="270">
        <v>0.45</v>
      </c>
      <c r="U315" s="270">
        <v>0.04</v>
      </c>
      <c r="Y315" s="344">
        <v>407.297872636796</v>
      </c>
    </row>
    <row r="316" spans="2:25" ht="17.399999999999999" thickTop="1" thickBot="1">
      <c r="B316" s="216">
        <v>30.999999999999901</v>
      </c>
      <c r="P316" s="342">
        <v>203.2034499999987</v>
      </c>
      <c r="Q316" s="343">
        <v>39.623951999999747</v>
      </c>
      <c r="R316" s="343">
        <v>13.843108899999912</v>
      </c>
      <c r="S316" s="343">
        <v>4.8260458999999694</v>
      </c>
      <c r="T316" s="270">
        <v>0.45</v>
      </c>
      <c r="U316" s="270">
        <v>0.04</v>
      </c>
      <c r="Y316" s="344">
        <v>411.18537839999613</v>
      </c>
    </row>
    <row r="317" spans="2:25" ht="17.399999999999999" thickTop="1" thickBot="1">
      <c r="B317" s="103">
        <v>31.099999999999898</v>
      </c>
      <c r="P317" s="342">
        <v>204.51655449999865</v>
      </c>
      <c r="Q317" s="343">
        <v>39.880002719999737</v>
      </c>
      <c r="R317" s="343">
        <v>13.932563328999908</v>
      </c>
      <c r="S317" s="343">
        <v>4.8572318989999683</v>
      </c>
      <c r="T317" s="270">
        <v>0.46</v>
      </c>
      <c r="U317" s="270">
        <v>0.04</v>
      </c>
      <c r="Y317" s="344">
        <v>415.09769219519598</v>
      </c>
    </row>
    <row r="318" spans="2:25" ht="17.399999999999999" thickTop="1" thickBot="1">
      <c r="B318" s="216">
        <v>31.1999999999999</v>
      </c>
      <c r="P318" s="342">
        <v>205.83388799999869</v>
      </c>
      <c r="Q318" s="343">
        <v>40.13687807999974</v>
      </c>
      <c r="R318" s="343">
        <v>14.02230585599991</v>
      </c>
      <c r="S318" s="343">
        <v>4.8885183359999687</v>
      </c>
      <c r="T318" s="270">
        <v>0.46</v>
      </c>
      <c r="U318" s="270">
        <v>0.04</v>
      </c>
      <c r="Y318" s="344">
        <v>419.03489333759597</v>
      </c>
    </row>
    <row r="319" spans="2:25" ht="17.399999999999999" thickTop="1" thickBot="1">
      <c r="B319" s="103">
        <v>31.299999999999901</v>
      </c>
      <c r="P319" s="342">
        <v>207.15545049999869</v>
      </c>
      <c r="Q319" s="343">
        <v>40.394578079999739</v>
      </c>
      <c r="R319" s="343">
        <v>14.112336480999911</v>
      </c>
      <c r="S319" s="343">
        <v>4.9199052109999686</v>
      </c>
      <c r="T319" s="270">
        <v>0.46</v>
      </c>
      <c r="U319" s="270">
        <v>0.04</v>
      </c>
      <c r="Y319" s="344">
        <v>422.99706114239603</v>
      </c>
    </row>
    <row r="320" spans="2:25" ht="17.399999999999999" thickTop="1" thickBot="1">
      <c r="B320" s="216">
        <v>31.399999999999899</v>
      </c>
      <c r="P320" s="342">
        <v>208.48124199999867</v>
      </c>
      <c r="Q320" s="343">
        <v>40.653102719999737</v>
      </c>
      <c r="R320" s="343">
        <v>14.202655203999909</v>
      </c>
      <c r="S320" s="343">
        <v>4.9513925239999681</v>
      </c>
      <c r="T320" s="270">
        <v>0.46</v>
      </c>
      <c r="U320" s="270">
        <v>0.04</v>
      </c>
      <c r="Y320" s="344">
        <v>426.98427492479573</v>
      </c>
    </row>
    <row r="321" spans="2:25" ht="17.399999999999999" thickTop="1" thickBot="1">
      <c r="B321" s="103">
        <v>31.499999999999901</v>
      </c>
      <c r="P321" s="342">
        <v>209.81126249999869</v>
      </c>
      <c r="Q321" s="343">
        <v>40.912451999999739</v>
      </c>
      <c r="R321" s="343">
        <v>14.29326202499991</v>
      </c>
      <c r="S321" s="343">
        <v>4.982980274999969</v>
      </c>
      <c r="T321" s="270">
        <v>0.47</v>
      </c>
      <c r="U321" s="270">
        <v>0.04</v>
      </c>
      <c r="Y321" s="344">
        <v>430.99661399999604</v>
      </c>
    </row>
    <row r="322" spans="2:25" ht="17.399999999999999" thickTop="1" thickBot="1">
      <c r="B322" s="216">
        <v>31.599999999999898</v>
      </c>
      <c r="P322" s="342">
        <v>211.14551199999863</v>
      </c>
      <c r="Q322" s="343">
        <v>41.172625919999732</v>
      </c>
      <c r="R322" s="343">
        <v>14.384156943999907</v>
      </c>
      <c r="S322" s="343">
        <v>5.0146684639999677</v>
      </c>
      <c r="T322" s="270">
        <v>0.47</v>
      </c>
      <c r="U322" s="270">
        <v>0.04</v>
      </c>
      <c r="Y322" s="344">
        <v>435.03415768319582</v>
      </c>
    </row>
    <row r="323" spans="2:25" ht="17.399999999999999" thickTop="1" thickBot="1">
      <c r="B323" s="103">
        <v>31.6999999999999</v>
      </c>
      <c r="P323" s="342">
        <v>212.48399049999864</v>
      </c>
      <c r="Q323" s="343">
        <v>41.433624479999736</v>
      </c>
      <c r="R323" s="343">
        <v>14.475339960999909</v>
      </c>
      <c r="S323" s="343">
        <v>5.0464570909999678</v>
      </c>
      <c r="T323" s="270">
        <v>0.47</v>
      </c>
      <c r="U323" s="270">
        <v>0.04</v>
      </c>
      <c r="Y323" s="344">
        <v>439.09698528959592</v>
      </c>
    </row>
    <row r="324" spans="2:25" ht="17.399999999999999" thickTop="1" thickBot="1">
      <c r="B324" s="216">
        <v>31.799999999999901</v>
      </c>
      <c r="P324" s="342">
        <v>213.82669799999869</v>
      </c>
      <c r="Q324" s="343">
        <v>41.695447679999738</v>
      </c>
      <c r="R324" s="343">
        <v>14.56681107599991</v>
      </c>
      <c r="S324" s="343">
        <v>5.0783461559999692</v>
      </c>
      <c r="T324" s="270">
        <v>0.48</v>
      </c>
      <c r="U324" s="270">
        <v>0.04</v>
      </c>
      <c r="Y324" s="344">
        <v>443.18517613439587</v>
      </c>
    </row>
    <row r="325" spans="2:25" ht="17.399999999999999" thickTop="1" thickBot="1">
      <c r="B325" s="103">
        <v>31.899999999999899</v>
      </c>
      <c r="P325" s="342">
        <v>215.17363449999863</v>
      </c>
      <c r="Q325" s="343">
        <v>41.958095519999731</v>
      </c>
      <c r="R325" s="343">
        <v>14.658570288999908</v>
      </c>
      <c r="S325" s="343">
        <v>5.1103356589999676</v>
      </c>
      <c r="T325" s="270">
        <v>0.48</v>
      </c>
      <c r="U325" s="270">
        <v>0.04</v>
      </c>
      <c r="Y325" s="344">
        <v>447.29880953279576</v>
      </c>
    </row>
    <row r="326" spans="2:25" ht="17.399999999999999" thickTop="1" thickBot="1">
      <c r="B326" s="216">
        <v>31.999999999999901</v>
      </c>
      <c r="P326" s="342">
        <v>216.52479999999866</v>
      </c>
      <c r="Q326" s="343">
        <v>42.221567999999735</v>
      </c>
      <c r="R326" s="343">
        <v>14.750617599999908</v>
      </c>
      <c r="S326" s="343">
        <v>5.1424255999999682</v>
      </c>
      <c r="T326" s="270">
        <v>0.48</v>
      </c>
      <c r="U326" s="270">
        <v>0.04</v>
      </c>
      <c r="Y326" s="344">
        <v>451.43796479999588</v>
      </c>
    </row>
    <row r="327" spans="2:25" ht="17.399999999999999" thickTop="1" thickBot="1">
      <c r="B327" s="103">
        <v>32.099999999999902</v>
      </c>
      <c r="P327" s="342">
        <v>217.88019449999868</v>
      </c>
      <c r="Q327" s="343">
        <v>42.485865119999737</v>
      </c>
      <c r="R327" s="343">
        <v>14.84295300899991</v>
      </c>
      <c r="S327" s="343">
        <v>5.1746159789999684</v>
      </c>
      <c r="T327" s="270">
        <v>0.48</v>
      </c>
      <c r="U327" s="270">
        <v>0.04</v>
      </c>
      <c r="Y327" s="344">
        <v>455.60272125119576</v>
      </c>
    </row>
    <row r="328" spans="2:25" ht="17.399999999999999" thickTop="1" thickBot="1">
      <c r="B328" s="216">
        <v>32.199999999999903</v>
      </c>
      <c r="P328" s="342">
        <v>219.23981799999868</v>
      </c>
      <c r="Q328" s="343">
        <v>42.750986879999743</v>
      </c>
      <c r="R328" s="343">
        <v>14.935576515999911</v>
      </c>
      <c r="S328" s="343">
        <v>5.2069067959999691</v>
      </c>
      <c r="T328" s="270">
        <v>0.49</v>
      </c>
      <c r="U328" s="270">
        <v>0.04</v>
      </c>
      <c r="Y328" s="344">
        <v>459.79315820159576</v>
      </c>
    </row>
    <row r="329" spans="2:25" ht="17.399999999999999" thickTop="1" thickBot="1">
      <c r="B329" s="103">
        <v>32.299999999999898</v>
      </c>
      <c r="P329" s="342">
        <v>220.6036704999986</v>
      </c>
      <c r="Q329" s="343">
        <v>43.016933279999726</v>
      </c>
      <c r="R329" s="343">
        <v>15.028488120999905</v>
      </c>
      <c r="S329" s="343">
        <v>5.2392980509999667</v>
      </c>
      <c r="T329" s="270">
        <v>0.49</v>
      </c>
      <c r="U329" s="270">
        <v>0.04</v>
      </c>
      <c r="Y329" s="344">
        <v>464.00935496639568</v>
      </c>
    </row>
    <row r="330" spans="2:25" ht="17.399999999999999" thickTop="1" thickBot="1">
      <c r="B330" s="216">
        <v>32.399999999999899</v>
      </c>
      <c r="P330" s="342">
        <v>221.97175199999862</v>
      </c>
      <c r="Q330" s="343">
        <v>43.283704319999728</v>
      </c>
      <c r="R330" s="343">
        <v>15.121687823999904</v>
      </c>
      <c r="S330" s="343">
        <v>5.2717897439999666</v>
      </c>
      <c r="T330" s="270">
        <v>0.49</v>
      </c>
      <c r="U330" s="270">
        <v>0.04</v>
      </c>
      <c r="Y330" s="344">
        <v>468.2513908607956</v>
      </c>
    </row>
    <row r="331" spans="2:25" ht="17.399999999999999" thickTop="1" thickBot="1">
      <c r="B331" s="103">
        <v>32.499999999999901</v>
      </c>
      <c r="P331" s="342">
        <v>223.34406249999864</v>
      </c>
      <c r="Q331" s="343">
        <v>43.551299999999735</v>
      </c>
      <c r="R331" s="343">
        <v>15.215175624999908</v>
      </c>
      <c r="S331" s="343">
        <v>5.3043818749999678</v>
      </c>
      <c r="T331" s="270">
        <v>0.5</v>
      </c>
      <c r="U331" s="270">
        <v>0.04</v>
      </c>
      <c r="Y331" s="344">
        <v>472.51934519999566</v>
      </c>
    </row>
    <row r="332" spans="2:25" ht="17.399999999999999" thickTop="1" thickBot="1">
      <c r="B332" s="216">
        <v>32.599999999999902</v>
      </c>
      <c r="P332" s="342">
        <v>224.72060199999865</v>
      </c>
      <c r="Q332" s="343">
        <v>43.819720319999732</v>
      </c>
      <c r="R332" s="343">
        <v>15.308951523999909</v>
      </c>
      <c r="S332" s="343">
        <v>5.3370744439999678</v>
      </c>
      <c r="T332" s="270">
        <v>0.5</v>
      </c>
      <c r="U332" s="270">
        <v>0.04</v>
      </c>
      <c r="Y332" s="344">
        <v>476.81329729919571</v>
      </c>
    </row>
    <row r="333" spans="2:25" ht="17.399999999999999" thickTop="1" thickBot="1">
      <c r="B333" s="103">
        <v>32.699999999999903</v>
      </c>
      <c r="P333" s="342">
        <v>226.10137049999864</v>
      </c>
      <c r="Q333" s="343">
        <v>44.088965279999734</v>
      </c>
      <c r="R333" s="343">
        <v>15.403015520999908</v>
      </c>
      <c r="S333" s="343">
        <v>5.3698674509999682</v>
      </c>
      <c r="T333" s="270">
        <v>0.5</v>
      </c>
      <c r="U333" s="270">
        <v>0.04</v>
      </c>
      <c r="Y333" s="344">
        <v>481.13332647359567</v>
      </c>
    </row>
    <row r="334" spans="2:25" ht="17.399999999999999" thickTop="1" thickBot="1">
      <c r="B334" s="216">
        <v>32.799999999999898</v>
      </c>
      <c r="P334" s="342">
        <v>227.48636799999858</v>
      </c>
      <c r="Q334" s="343">
        <v>44.359034879999726</v>
      </c>
      <c r="R334" s="343">
        <v>15.497367615999904</v>
      </c>
      <c r="S334" s="343">
        <v>5.4027608959999665</v>
      </c>
      <c r="T334" s="270">
        <v>0.51</v>
      </c>
      <c r="U334" s="270">
        <v>0.04</v>
      </c>
      <c r="Y334" s="344">
        <v>485.47951203839551</v>
      </c>
    </row>
    <row r="335" spans="2:25" ht="17.399999999999999" thickTop="1" thickBot="1">
      <c r="B335" s="103">
        <v>32.899999999999899</v>
      </c>
      <c r="P335" s="342">
        <v>228.87559449999858</v>
      </c>
      <c r="Q335" s="343">
        <v>44.629929119999723</v>
      </c>
      <c r="R335" s="343">
        <v>15.592007808999902</v>
      </c>
      <c r="S335" s="343">
        <v>5.4357547789999661</v>
      </c>
      <c r="T335" s="270">
        <v>0.51</v>
      </c>
      <c r="U335" s="270">
        <v>0.04</v>
      </c>
      <c r="Y335" s="344">
        <v>489.85193330879542</v>
      </c>
    </row>
    <row r="336" spans="2:25" ht="17.399999999999999" thickTop="1" thickBot="1">
      <c r="B336" s="216">
        <v>32.999999999999901</v>
      </c>
      <c r="P336" s="342">
        <v>230.2690499999986</v>
      </c>
      <c r="Q336" s="343">
        <v>44.901647999999724</v>
      </c>
      <c r="R336" s="343">
        <v>15.686936099999905</v>
      </c>
      <c r="S336" s="343">
        <v>5.468849099999967</v>
      </c>
      <c r="T336" s="270">
        <v>0.51</v>
      </c>
      <c r="U336" s="270">
        <v>0.04</v>
      </c>
      <c r="Y336" s="344">
        <v>494.2506695999956</v>
      </c>
    </row>
    <row r="337" spans="2:25" ht="17.399999999999999" thickTop="1" thickBot="1">
      <c r="B337" s="103">
        <v>33.099999999999902</v>
      </c>
      <c r="P337" s="342">
        <v>231.66673449999863</v>
      </c>
      <c r="Q337" s="343">
        <v>45.174191519999731</v>
      </c>
      <c r="R337" s="343">
        <v>15.782152488999907</v>
      </c>
      <c r="S337" s="343">
        <v>5.5020438589999676</v>
      </c>
      <c r="T337" s="270">
        <v>0.52</v>
      </c>
      <c r="U337" s="270">
        <v>0.04</v>
      </c>
      <c r="Y337" s="344">
        <v>498.67580022719562</v>
      </c>
    </row>
    <row r="338" spans="2:25" ht="17.399999999999999" thickTop="1" thickBot="1">
      <c r="B338" s="216">
        <v>33.199999999999903</v>
      </c>
      <c r="P338" s="342">
        <v>233.06864799999866</v>
      </c>
      <c r="Q338" s="343">
        <v>45.447559679999735</v>
      </c>
      <c r="R338" s="343">
        <v>15.877656975999908</v>
      </c>
      <c r="S338" s="343">
        <v>5.5353390559999687</v>
      </c>
      <c r="T338" s="270">
        <v>0.52</v>
      </c>
      <c r="U338" s="270">
        <v>0.04</v>
      </c>
      <c r="Y338" s="344">
        <v>503.12740450559556</v>
      </c>
    </row>
    <row r="339" spans="2:25" ht="17.399999999999999" thickTop="1" thickBot="1">
      <c r="B339" s="103">
        <v>33.299999999999898</v>
      </c>
      <c r="P339" s="342">
        <v>234.47479049999859</v>
      </c>
      <c r="Q339" s="343">
        <v>45.721752479999722</v>
      </c>
      <c r="R339" s="343">
        <v>15.973449560999903</v>
      </c>
      <c r="S339" s="343">
        <v>5.5687346909999667</v>
      </c>
      <c r="T339" s="270">
        <v>0.52</v>
      </c>
      <c r="U339" s="270">
        <v>0.04</v>
      </c>
      <c r="Y339" s="344">
        <v>507.60556175039534</v>
      </c>
    </row>
    <row r="340" spans="2:25" ht="17.399999999999999" thickTop="1" thickBot="1">
      <c r="B340" s="216">
        <v>33.399999999999899</v>
      </c>
      <c r="P340" s="342">
        <v>235.88516199999859</v>
      </c>
      <c r="Q340" s="343">
        <v>45.996769919999721</v>
      </c>
      <c r="R340" s="343">
        <v>16.069530243999903</v>
      </c>
      <c r="S340" s="343">
        <v>5.6022307639999669</v>
      </c>
      <c r="T340" s="270">
        <v>0.52</v>
      </c>
      <c r="U340" s="270">
        <v>0.04</v>
      </c>
      <c r="Y340" s="344">
        <v>512.11035127679531</v>
      </c>
    </row>
    <row r="341" spans="2:25" ht="17.399999999999999" thickTop="1" thickBot="1">
      <c r="B341" s="103">
        <v>33.499999999999901</v>
      </c>
      <c r="P341" s="342">
        <v>237.29976249999859</v>
      </c>
      <c r="Q341" s="343">
        <v>46.272611999999725</v>
      </c>
      <c r="R341" s="343">
        <v>16.165899024999906</v>
      </c>
      <c r="S341" s="343">
        <v>5.6358272749999667</v>
      </c>
      <c r="T341" s="270">
        <v>0.53</v>
      </c>
      <c r="U341" s="270">
        <v>0.04</v>
      </c>
      <c r="Y341" s="344">
        <v>516.64185239999551</v>
      </c>
    </row>
    <row r="342" spans="2:25" ht="17.399999999999999" thickTop="1" thickBot="1">
      <c r="B342" s="216">
        <v>33.599999999999902</v>
      </c>
      <c r="P342" s="342">
        <v>238.71859199999861</v>
      </c>
      <c r="Q342" s="343">
        <v>46.549278719999727</v>
      </c>
      <c r="R342" s="343">
        <v>16.262555903999907</v>
      </c>
      <c r="S342" s="343">
        <v>5.669524223999967</v>
      </c>
      <c r="T342" s="270">
        <v>0.53</v>
      </c>
      <c r="U342" s="270">
        <v>0.04</v>
      </c>
      <c r="Y342" s="344">
        <v>521.20014443519551</v>
      </c>
    </row>
    <row r="343" spans="2:25" ht="17.399999999999999" thickTop="1" thickBot="1">
      <c r="B343" s="103">
        <v>33.699999999999903</v>
      </c>
      <c r="P343" s="342">
        <v>240.1416504999986</v>
      </c>
      <c r="Q343" s="343">
        <v>46.826770079999726</v>
      </c>
      <c r="R343" s="343">
        <v>16.359500880999907</v>
      </c>
      <c r="S343" s="343">
        <v>5.7033216109999669</v>
      </c>
      <c r="T343" s="270">
        <v>0.53</v>
      </c>
      <c r="U343" s="270">
        <v>0.04</v>
      </c>
      <c r="Y343" s="344">
        <v>525.78530669759539</v>
      </c>
    </row>
    <row r="344" spans="2:25" ht="17.399999999999999" thickTop="1" thickBot="1">
      <c r="B344" s="216">
        <v>33.799999999999898</v>
      </c>
      <c r="P344" s="342">
        <v>241.56893799999852</v>
      </c>
      <c r="Q344" s="343">
        <v>47.105086079999708</v>
      </c>
      <c r="R344" s="343">
        <v>16.456733955999898</v>
      </c>
      <c r="S344" s="343">
        <v>5.7372194359999646</v>
      </c>
      <c r="T344" s="270">
        <v>0.54</v>
      </c>
      <c r="U344" s="270">
        <v>0.04</v>
      </c>
      <c r="Y344" s="344">
        <v>530.39741850239523</v>
      </c>
    </row>
    <row r="345" spans="2:25" ht="17.399999999999999" thickTop="1" thickBot="1">
      <c r="B345" s="103">
        <v>33.899999999999899</v>
      </c>
      <c r="P345" s="342">
        <v>243.00045449999857</v>
      </c>
      <c r="Q345" s="343">
        <v>47.384226719999717</v>
      </c>
      <c r="R345" s="343">
        <v>16.554255128999902</v>
      </c>
      <c r="S345" s="343">
        <v>5.7712176989999664</v>
      </c>
      <c r="T345" s="270">
        <v>0.54</v>
      </c>
      <c r="U345" s="270">
        <v>0.04</v>
      </c>
      <c r="Y345" s="344">
        <v>535.03655916479522</v>
      </c>
    </row>
    <row r="346" spans="2:25" ht="17.399999999999999" thickTop="1" thickBot="1">
      <c r="B346" s="216">
        <v>33.999999999999901</v>
      </c>
      <c r="P346" s="342">
        <v>244.43619999999856</v>
      </c>
      <c r="Q346" s="343">
        <v>47.664191999999716</v>
      </c>
      <c r="R346" s="343">
        <v>16.652064399999901</v>
      </c>
      <c r="S346" s="343">
        <v>5.805316399999966</v>
      </c>
      <c r="T346" s="270">
        <v>0.54</v>
      </c>
      <c r="U346" s="270">
        <v>0.04</v>
      </c>
      <c r="Y346" s="344">
        <v>539.70280799999534</v>
      </c>
    </row>
    <row r="347" spans="2:25" ht="17.399999999999999" thickTop="1" thickBot="1">
      <c r="B347" s="103">
        <v>34.099999999999902</v>
      </c>
      <c r="P347" s="342">
        <v>245.8761744999986</v>
      </c>
      <c r="Q347" s="343">
        <v>47.944981919999726</v>
      </c>
      <c r="R347" s="343">
        <v>16.750161768999906</v>
      </c>
      <c r="S347" s="343">
        <v>5.8395155389999669</v>
      </c>
      <c r="T347" s="270">
        <v>0.55000000000000004</v>
      </c>
      <c r="U347" s="270">
        <v>0.04</v>
      </c>
      <c r="Y347" s="344">
        <v>544.39624432319533</v>
      </c>
    </row>
    <row r="348" spans="2:25" ht="17.399999999999999" thickTop="1" thickBot="1">
      <c r="B348" s="216">
        <v>34.199999999999903</v>
      </c>
      <c r="P348" s="342">
        <v>247.32037799999858</v>
      </c>
      <c r="Q348" s="343">
        <v>48.226596479999721</v>
      </c>
      <c r="R348" s="343">
        <v>16.848547235999902</v>
      </c>
      <c r="S348" s="343">
        <v>5.8738151159999665</v>
      </c>
      <c r="T348" s="270">
        <v>0.55000000000000004</v>
      </c>
      <c r="U348" s="270">
        <v>0.04</v>
      </c>
      <c r="Y348" s="344">
        <v>549.11694744959539</v>
      </c>
    </row>
    <row r="349" spans="2:25" ht="17.399999999999999" thickTop="1" thickBot="1">
      <c r="B349" s="103">
        <v>34.299999999999898</v>
      </c>
      <c r="P349" s="342">
        <v>248.76881049999852</v>
      </c>
      <c r="Q349" s="343">
        <v>48.509035679999705</v>
      </c>
      <c r="R349" s="343">
        <v>16.947220800999897</v>
      </c>
      <c r="S349" s="343">
        <v>5.9082151309999649</v>
      </c>
      <c r="T349" s="270">
        <v>0.55000000000000004</v>
      </c>
      <c r="U349" s="270">
        <v>0.04</v>
      </c>
      <c r="Y349" s="344">
        <v>553.8649966943949</v>
      </c>
    </row>
    <row r="350" spans="2:25" ht="17.399999999999999" thickTop="1" thickBot="1">
      <c r="B350" s="216">
        <v>34.399999999999899</v>
      </c>
      <c r="P350" s="342">
        <v>250.22147199999853</v>
      </c>
      <c r="Q350" s="343">
        <v>48.792299519999709</v>
      </c>
      <c r="R350" s="343">
        <v>17.046182463999902</v>
      </c>
      <c r="S350" s="343">
        <v>5.9427155839999655</v>
      </c>
      <c r="T350" s="270">
        <v>0.56000000000000005</v>
      </c>
      <c r="U350" s="270">
        <v>0.04</v>
      </c>
      <c r="Y350" s="344">
        <v>558.64047137279533</v>
      </c>
    </row>
    <row r="351" spans="2:25" ht="17.399999999999999" thickTop="1" thickBot="1">
      <c r="B351" s="103">
        <v>34.499999999999901</v>
      </c>
      <c r="P351" s="342">
        <v>251.67836249999857</v>
      </c>
      <c r="Q351" s="343">
        <v>49.076387999999717</v>
      </c>
      <c r="R351" s="343">
        <v>17.145432224999901</v>
      </c>
      <c r="S351" s="343">
        <v>5.9773164749999657</v>
      </c>
      <c r="T351" s="270">
        <v>0.56000000000000005</v>
      </c>
      <c r="U351" s="270">
        <v>0.04</v>
      </c>
      <c r="Y351" s="344">
        <v>563.44345079999516</v>
      </c>
    </row>
    <row r="352" spans="2:25" ht="17.399999999999999" thickTop="1" thickBot="1">
      <c r="B352" s="216">
        <v>34.599999999999902</v>
      </c>
      <c r="P352" s="342">
        <v>253.13948199999857</v>
      </c>
      <c r="Q352" s="343">
        <v>49.361301119999716</v>
      </c>
      <c r="R352" s="343">
        <v>17.244970083999902</v>
      </c>
      <c r="S352" s="343">
        <v>6.0120178039999663</v>
      </c>
      <c r="T352" s="270">
        <v>0.56000000000000005</v>
      </c>
      <c r="U352" s="270">
        <v>0.04</v>
      </c>
      <c r="Y352" s="344">
        <v>568.27401429119504</v>
      </c>
    </row>
    <row r="353" spans="2:25" ht="17.399999999999999" thickTop="1" thickBot="1">
      <c r="B353" s="103">
        <v>34.699999999999903</v>
      </c>
      <c r="P353" s="342">
        <v>254.6048304999986</v>
      </c>
      <c r="Q353" s="343">
        <v>49.64703887999972</v>
      </c>
      <c r="R353" s="343">
        <v>17.344796040999903</v>
      </c>
      <c r="S353" s="343">
        <v>6.0468195709999666</v>
      </c>
      <c r="T353" s="270">
        <v>0.56999999999999995</v>
      </c>
      <c r="U353" s="270">
        <v>0.04</v>
      </c>
      <c r="Y353" s="344">
        <v>573.13224116159518</v>
      </c>
    </row>
    <row r="354" spans="2:25" ht="17.399999999999999" thickTop="1" thickBot="1">
      <c r="B354" s="216">
        <v>34.799999999999898</v>
      </c>
      <c r="P354" s="342">
        <v>256.07440799999853</v>
      </c>
      <c r="Q354" s="343">
        <v>49.933601279999706</v>
      </c>
      <c r="R354" s="343">
        <v>17.444910095999898</v>
      </c>
      <c r="S354" s="343">
        <v>6.0817217759999647</v>
      </c>
      <c r="T354" s="270">
        <v>0.56999999999999995</v>
      </c>
      <c r="U354" s="270">
        <v>0.04</v>
      </c>
      <c r="Y354" s="344">
        <v>578.01821072639473</v>
      </c>
    </row>
    <row r="355" spans="2:25" ht="17.399999999999999" thickTop="1" thickBot="1">
      <c r="B355" s="103">
        <v>34.899999999999899</v>
      </c>
      <c r="P355" s="342">
        <v>257.54821449999849</v>
      </c>
      <c r="Q355" s="343">
        <v>50.220988319999705</v>
      </c>
      <c r="R355" s="343">
        <v>17.545312248999899</v>
      </c>
      <c r="S355" s="343">
        <v>6.116724418999965</v>
      </c>
      <c r="T355" s="270">
        <v>0.56999999999999995</v>
      </c>
      <c r="U355" s="270">
        <v>0.05</v>
      </c>
      <c r="Y355" s="344">
        <v>582.93200230079492</v>
      </c>
    </row>
    <row r="356" spans="2:25" ht="17.399999999999999" thickTop="1" thickBot="1">
      <c r="B356" s="216">
        <v>34.999999999999901</v>
      </c>
      <c r="P356" s="342">
        <v>259.02624999999853</v>
      </c>
      <c r="Q356" s="343">
        <v>50.509199999999709</v>
      </c>
      <c r="R356" s="343">
        <v>17.646002499999899</v>
      </c>
      <c r="S356" s="343">
        <v>6.1518274999999649</v>
      </c>
      <c r="T356" s="270">
        <v>0.57999999999999996</v>
      </c>
      <c r="U356" s="270">
        <v>0.05</v>
      </c>
      <c r="Y356" s="344">
        <v>587.87369519999504</v>
      </c>
    </row>
    <row r="357" spans="2:25" ht="17.399999999999999" thickTop="1" thickBot="1">
      <c r="B357" s="103">
        <v>35.099999999999902</v>
      </c>
      <c r="P357" s="342">
        <v>260.50851449999857</v>
      </c>
      <c r="Q357" s="343">
        <v>50.798236319999717</v>
      </c>
      <c r="R357" s="343">
        <v>17.7469808489999</v>
      </c>
      <c r="S357" s="343">
        <v>6.1870310189999662</v>
      </c>
      <c r="T357" s="270">
        <v>0.57999999999999996</v>
      </c>
      <c r="U357" s="270">
        <v>0.05</v>
      </c>
      <c r="Y357" s="344">
        <v>592.84336873919494</v>
      </c>
    </row>
    <row r="358" spans="2:25" ht="17.399999999999999" thickTop="1" thickBot="1">
      <c r="B358" s="216">
        <v>35.199999999999903</v>
      </c>
      <c r="P358" s="342">
        <v>261.99500799999856</v>
      </c>
      <c r="Q358" s="343">
        <v>51.088097279999715</v>
      </c>
      <c r="R358" s="343">
        <v>17.848247295999901</v>
      </c>
      <c r="S358" s="343">
        <v>6.2223349759999653</v>
      </c>
      <c r="T358" s="270">
        <v>0.57999999999999996</v>
      </c>
      <c r="U358" s="270">
        <v>0.05</v>
      </c>
      <c r="Y358" s="344">
        <v>597.84110223359494</v>
      </c>
    </row>
    <row r="359" spans="2:25" ht="17.399999999999999" thickTop="1" thickBot="1">
      <c r="B359" s="103">
        <v>35.299999999999898</v>
      </c>
      <c r="P359" s="342">
        <v>263.48573049999851</v>
      </c>
      <c r="Q359" s="343">
        <v>51.378782879999704</v>
      </c>
      <c r="R359" s="343">
        <v>17.949801840999896</v>
      </c>
      <c r="S359" s="343">
        <v>6.257739370999964</v>
      </c>
      <c r="T359" s="270">
        <v>0.59</v>
      </c>
      <c r="U359" s="270">
        <v>0.05</v>
      </c>
      <c r="Y359" s="344">
        <v>602.86697499839454</v>
      </c>
    </row>
    <row r="360" spans="2:25" ht="17.399999999999999" thickTop="1" thickBot="1">
      <c r="B360" s="216">
        <v>35.399999999999899</v>
      </c>
      <c r="P360" s="342">
        <v>264.98068199999847</v>
      </c>
      <c r="Q360" s="343">
        <v>51.670293119999698</v>
      </c>
      <c r="R360" s="343">
        <v>18.051644483999898</v>
      </c>
      <c r="S360" s="343">
        <v>6.2932442039999641</v>
      </c>
      <c r="T360" s="270">
        <v>0.59</v>
      </c>
      <c r="U360" s="270">
        <v>0.05</v>
      </c>
      <c r="Y360" s="344">
        <v>607.92106634879497</v>
      </c>
    </row>
    <row r="361" spans="2:25" ht="17.399999999999999" thickTop="1" thickBot="1">
      <c r="B361" s="103">
        <v>35.499999999999901</v>
      </c>
      <c r="P361" s="342">
        <v>266.47986249999849</v>
      </c>
      <c r="Q361" s="343">
        <v>51.962627999999704</v>
      </c>
      <c r="R361" s="343">
        <v>18.153775224999897</v>
      </c>
      <c r="S361" s="343">
        <v>6.3288494749999646</v>
      </c>
      <c r="T361" s="270">
        <v>0.59</v>
      </c>
      <c r="U361" s="270">
        <v>0.05</v>
      </c>
      <c r="Y361" s="344">
        <v>613.00345559999494</v>
      </c>
    </row>
    <row r="362" spans="2:25" ht="17.399999999999999" thickTop="1" thickBot="1">
      <c r="B362" s="216">
        <v>35.599999999999902</v>
      </c>
      <c r="P362" s="342">
        <v>267.98327199999852</v>
      </c>
      <c r="Q362" s="343">
        <v>52.255787519999714</v>
      </c>
      <c r="R362" s="343">
        <v>18.256194063999899</v>
      </c>
      <c r="S362" s="343">
        <v>6.3645551839999657</v>
      </c>
      <c r="T362" s="270">
        <v>0.6</v>
      </c>
      <c r="U362" s="270">
        <v>0.05</v>
      </c>
      <c r="Y362" s="344">
        <v>618.11422206719487</v>
      </c>
    </row>
    <row r="363" spans="2:25" ht="17.399999999999999" thickTop="1" thickBot="1">
      <c r="B363" s="103">
        <v>35.699999999999903</v>
      </c>
      <c r="P363" s="342">
        <v>269.49091049999856</v>
      </c>
      <c r="Q363" s="343">
        <v>52.549771679999715</v>
      </c>
      <c r="R363" s="343">
        <v>18.358901000999904</v>
      </c>
      <c r="S363" s="343">
        <v>6.4003613309999663</v>
      </c>
      <c r="T363" s="270">
        <v>0.6</v>
      </c>
      <c r="U363" s="270">
        <v>0.05</v>
      </c>
      <c r="Y363" s="344">
        <v>623.25344506559497</v>
      </c>
    </row>
    <row r="364" spans="2:25" ht="17.399999999999999" thickTop="1" thickBot="1">
      <c r="B364" s="216">
        <v>35.799999999999898</v>
      </c>
      <c r="P364" s="342">
        <v>271.00277799999844</v>
      </c>
      <c r="Q364" s="343">
        <v>52.844580479999692</v>
      </c>
      <c r="R364" s="343">
        <v>18.461896035999892</v>
      </c>
      <c r="S364" s="343">
        <v>6.436267915999963</v>
      </c>
      <c r="T364" s="270">
        <v>0.6</v>
      </c>
      <c r="U364" s="270">
        <v>0.05</v>
      </c>
      <c r="Y364" s="344">
        <v>628.42120391039441</v>
      </c>
    </row>
    <row r="365" spans="2:25" ht="17.399999999999999" thickTop="1" thickBot="1">
      <c r="B365" s="103">
        <v>35.899999999999899</v>
      </c>
      <c r="P365" s="342">
        <v>272.51887449999845</v>
      </c>
      <c r="Q365" s="343">
        <v>53.140213919999695</v>
      </c>
      <c r="R365" s="343">
        <v>18.565179168999894</v>
      </c>
      <c r="S365" s="343">
        <v>6.4722749389999636</v>
      </c>
      <c r="T365" s="270">
        <v>0.61</v>
      </c>
      <c r="U365" s="270">
        <v>0.05</v>
      </c>
      <c r="Y365" s="344">
        <v>633.61757791679474</v>
      </c>
    </row>
    <row r="366" spans="2:25" ht="17.399999999999999" thickTop="1" thickBot="1">
      <c r="B366" s="216">
        <v>35.999999999999901</v>
      </c>
      <c r="P366" s="342">
        <v>274.03919999999846</v>
      </c>
      <c r="Q366" s="343">
        <v>53.436671999999696</v>
      </c>
      <c r="R366" s="343">
        <v>18.668750399999894</v>
      </c>
      <c r="S366" s="343">
        <v>6.5083823999999639</v>
      </c>
      <c r="T366" s="270">
        <v>0.61</v>
      </c>
      <c r="U366" s="270">
        <v>0.05</v>
      </c>
      <c r="Y366" s="344">
        <v>638.84264639999481</v>
      </c>
    </row>
    <row r="367" spans="2:25" ht="17.399999999999999" thickTop="1" thickBot="1">
      <c r="B367" s="103">
        <v>36.099999999999902</v>
      </c>
      <c r="P367" s="342">
        <v>275.56375449999854</v>
      </c>
      <c r="Q367" s="343">
        <v>53.733954719999709</v>
      </c>
      <c r="R367" s="343">
        <v>18.7726097289999</v>
      </c>
      <c r="S367" s="343">
        <v>6.5445902989999647</v>
      </c>
      <c r="T367" s="270">
        <v>0.61</v>
      </c>
      <c r="U367" s="270">
        <v>0.05</v>
      </c>
      <c r="Y367" s="344">
        <v>644.09648867519479</v>
      </c>
    </row>
    <row r="368" spans="2:25" ht="17.399999999999999" thickTop="1" thickBot="1">
      <c r="B368" s="216">
        <v>36.199999999999903</v>
      </c>
      <c r="P368" s="342">
        <v>277.09253799999851</v>
      </c>
      <c r="Q368" s="343">
        <v>54.032062079999712</v>
      </c>
      <c r="R368" s="343">
        <v>18.876757155999901</v>
      </c>
      <c r="S368" s="343">
        <v>6.5808986359999651</v>
      </c>
      <c r="T368" s="270">
        <v>0.62</v>
      </c>
      <c r="U368" s="270">
        <v>0.05</v>
      </c>
      <c r="Y368" s="344">
        <v>649.37918405759478</v>
      </c>
    </row>
    <row r="369" spans="2:25" ht="17.399999999999999" thickTop="1" thickBot="1">
      <c r="B369" s="103">
        <v>36.299999999999898</v>
      </c>
      <c r="P369" s="342">
        <v>278.62555049999844</v>
      </c>
      <c r="Q369" s="343">
        <v>54.330994079999691</v>
      </c>
      <c r="R369" s="343">
        <v>18.981192680999893</v>
      </c>
      <c r="S369" s="343">
        <v>6.6173074109999632</v>
      </c>
      <c r="T369" s="270">
        <v>0.62</v>
      </c>
      <c r="U369" s="270">
        <v>0.05</v>
      </c>
      <c r="Y369" s="344">
        <v>654.69081186239418</v>
      </c>
    </row>
    <row r="370" spans="2:25" ht="17.399999999999999" thickTop="1" thickBot="1">
      <c r="B370" s="216">
        <v>36.399999999999899</v>
      </c>
      <c r="P370" s="342">
        <v>280.16279199999849</v>
      </c>
      <c r="Q370" s="343">
        <v>54.630750719999696</v>
      </c>
      <c r="R370" s="343">
        <v>19.085916303999895</v>
      </c>
      <c r="S370" s="343">
        <v>6.6538166239999637</v>
      </c>
      <c r="T370" s="270">
        <v>0.62</v>
      </c>
      <c r="U370" s="270">
        <v>0.05</v>
      </c>
      <c r="Y370" s="344">
        <v>660.03145140479455</v>
      </c>
    </row>
    <row r="371" spans="2:25" ht="17.399999999999999" thickTop="1" thickBot="1">
      <c r="B371" s="103">
        <v>36.499999999999901</v>
      </c>
      <c r="P371" s="342">
        <v>281.70426249999844</v>
      </c>
      <c r="Q371" s="343">
        <v>54.931331999999699</v>
      </c>
      <c r="R371" s="343">
        <v>19.190928024999895</v>
      </c>
      <c r="S371" s="343">
        <v>6.6904262749999637</v>
      </c>
      <c r="T371" s="270">
        <v>0.63</v>
      </c>
      <c r="U371" s="270">
        <v>0.05</v>
      </c>
      <c r="Y371" s="344">
        <v>665.40118199999449</v>
      </c>
    </row>
    <row r="372" spans="2:25" ht="17.399999999999999" thickTop="1" thickBot="1">
      <c r="B372" s="216">
        <v>36.599999999999902</v>
      </c>
      <c r="P372" s="342">
        <v>283.2499619999985</v>
      </c>
      <c r="Q372" s="343">
        <v>55.232737919999707</v>
      </c>
      <c r="R372" s="343">
        <v>19.296227843999898</v>
      </c>
      <c r="S372" s="343">
        <v>6.7271363639999642</v>
      </c>
      <c r="T372" s="270">
        <v>0.63</v>
      </c>
      <c r="U372" s="270">
        <v>0.05</v>
      </c>
      <c r="Y372" s="344">
        <v>670.80008296319454</v>
      </c>
    </row>
    <row r="373" spans="2:25" ht="17.399999999999999" thickTop="1" thickBot="1">
      <c r="B373" s="103">
        <v>36.699999999999903</v>
      </c>
      <c r="P373" s="342">
        <v>284.79989049999847</v>
      </c>
      <c r="Q373" s="343">
        <v>55.534968479999698</v>
      </c>
      <c r="R373" s="343">
        <v>19.401815760999895</v>
      </c>
      <c r="S373" s="343">
        <v>6.7639468909999643</v>
      </c>
      <c r="T373" s="270">
        <v>0.63</v>
      </c>
      <c r="U373" s="270">
        <v>0.05</v>
      </c>
      <c r="Y373" s="344">
        <v>676.22823360959467</v>
      </c>
    </row>
    <row r="374" spans="2:25" ht="17.399999999999999" thickTop="1" thickBot="1">
      <c r="B374" s="216">
        <v>36.799999999999898</v>
      </c>
      <c r="P374" s="342">
        <v>286.35404799999839</v>
      </c>
      <c r="Q374" s="343">
        <v>55.838023679999687</v>
      </c>
      <c r="R374" s="343">
        <v>19.507691775999891</v>
      </c>
      <c r="S374" s="343">
        <v>6.8008578559999622</v>
      </c>
      <c r="T374" s="270">
        <v>0.64</v>
      </c>
      <c r="U374" s="270">
        <v>0.05</v>
      </c>
      <c r="Y374" s="344">
        <v>681.68571325439416</v>
      </c>
    </row>
    <row r="375" spans="2:25" ht="17.399999999999999" thickTop="1" thickBot="1">
      <c r="B375" s="103">
        <v>36.899999999999899</v>
      </c>
      <c r="P375" s="342">
        <v>287.91243449999843</v>
      </c>
      <c r="Q375" s="343">
        <v>56.141903519999694</v>
      </c>
      <c r="R375" s="343">
        <v>19.613855888999893</v>
      </c>
      <c r="S375" s="343">
        <v>6.8378692589999632</v>
      </c>
      <c r="T375" s="270">
        <v>0.64</v>
      </c>
      <c r="U375" s="270">
        <v>0.05</v>
      </c>
      <c r="Y375" s="344">
        <v>687.17260121279469</v>
      </c>
    </row>
    <row r="376" spans="2:25" ht="17.399999999999999" thickTop="1" thickBot="1">
      <c r="B376" s="216">
        <v>36.999999999999901</v>
      </c>
      <c r="P376" s="342">
        <v>289.47504999999848</v>
      </c>
      <c r="Q376" s="343">
        <v>56.446607999999699</v>
      </c>
      <c r="R376" s="343">
        <v>19.720308099999894</v>
      </c>
      <c r="S376" s="343">
        <v>6.8749810999999639</v>
      </c>
      <c r="T376" s="270">
        <v>0.64</v>
      </c>
      <c r="U376" s="270">
        <v>0.05</v>
      </c>
      <c r="Y376" s="344">
        <v>692.68897679999441</v>
      </c>
    </row>
    <row r="377" spans="2:25" ht="17.399999999999999" thickTop="1" thickBot="1">
      <c r="B377" s="103">
        <v>37.099999999999902</v>
      </c>
      <c r="P377" s="342">
        <v>291.04189449999848</v>
      </c>
      <c r="Q377" s="343">
        <v>56.752137119999702</v>
      </c>
      <c r="R377" s="343">
        <v>19.827048408999897</v>
      </c>
      <c r="S377" s="343">
        <v>6.9121933789999641</v>
      </c>
      <c r="T377" s="270">
        <v>0.65</v>
      </c>
      <c r="U377" s="270">
        <v>0.05</v>
      </c>
      <c r="Y377" s="344">
        <v>698.23491933119442</v>
      </c>
    </row>
    <row r="378" spans="2:25" ht="17.399999999999999" thickTop="1" thickBot="1">
      <c r="B378" s="216">
        <v>37.199999999999903</v>
      </c>
      <c r="P378" s="342">
        <v>292.61296799999849</v>
      </c>
      <c r="Q378" s="343">
        <v>57.058490879999702</v>
      </c>
      <c r="R378" s="343">
        <v>19.934076815999898</v>
      </c>
      <c r="S378" s="343">
        <v>6.9495060959999648</v>
      </c>
      <c r="T378" s="270">
        <v>0.65</v>
      </c>
      <c r="U378" s="270">
        <v>0.05</v>
      </c>
      <c r="Y378" s="344">
        <v>703.81050812159435</v>
      </c>
    </row>
    <row r="379" spans="2:25" ht="17.399999999999999" thickTop="1" thickBot="1">
      <c r="B379" s="103">
        <v>37.299999999999898</v>
      </c>
      <c r="P379" s="342">
        <v>294.1882704999984</v>
      </c>
      <c r="Q379" s="343">
        <v>57.365669279999686</v>
      </c>
      <c r="R379" s="343">
        <v>20.041393320999891</v>
      </c>
      <c r="S379" s="343">
        <v>6.9869192509999625</v>
      </c>
      <c r="T379" s="270">
        <v>0.65</v>
      </c>
      <c r="U379" s="270">
        <v>0.05</v>
      </c>
      <c r="Y379" s="344">
        <v>709.41582248639384</v>
      </c>
    </row>
    <row r="380" spans="2:25" ht="17.399999999999999" thickTop="1" thickBot="1">
      <c r="B380" s="216">
        <v>37.399999999999899</v>
      </c>
      <c r="P380" s="342">
        <v>295.76780199999843</v>
      </c>
      <c r="Q380" s="343">
        <v>57.673672319999689</v>
      </c>
      <c r="R380" s="343">
        <v>20.148997923999893</v>
      </c>
      <c r="S380" s="343">
        <v>7.0244328439999624</v>
      </c>
      <c r="T380" s="270">
        <v>0.66</v>
      </c>
      <c r="U380" s="270">
        <v>0.05</v>
      </c>
      <c r="Y380" s="344">
        <v>715.05094174079454</v>
      </c>
    </row>
    <row r="381" spans="2:25" ht="17.399999999999999" thickTop="1" thickBot="1">
      <c r="B381" s="103">
        <v>37.499999999999901</v>
      </c>
      <c r="P381" s="342">
        <v>297.35156249999841</v>
      </c>
      <c r="Q381" s="343">
        <v>57.982499999999689</v>
      </c>
      <c r="R381" s="343">
        <v>20.25689062499989</v>
      </c>
      <c r="S381" s="343">
        <v>7.0620468749999628</v>
      </c>
      <c r="T381" s="270">
        <v>0.66</v>
      </c>
      <c r="U381" s="270">
        <v>0.05</v>
      </c>
      <c r="Y381" s="344">
        <v>720.71594519999417</v>
      </c>
    </row>
    <row r="382" spans="2:25" ht="17.399999999999999" thickTop="1" thickBot="1">
      <c r="B382" s="216">
        <v>37.599999999999902</v>
      </c>
      <c r="P382" s="342">
        <v>298.93955199999846</v>
      </c>
      <c r="Q382" s="343">
        <v>58.292152319999694</v>
      </c>
      <c r="R382" s="343">
        <v>20.365071423999893</v>
      </c>
      <c r="S382" s="343">
        <v>7.0997613439999636</v>
      </c>
      <c r="T382" s="270">
        <v>0.67</v>
      </c>
      <c r="U382" s="270">
        <v>0.05</v>
      </c>
      <c r="Y382" s="344">
        <v>726.41091217919427</v>
      </c>
    </row>
    <row r="383" spans="2:25" ht="17.399999999999999" thickTop="1" thickBot="1">
      <c r="B383" s="103">
        <v>37.699999999999903</v>
      </c>
      <c r="P383" s="342">
        <v>300.53177049999846</v>
      </c>
      <c r="Q383" s="343">
        <v>58.602629279999697</v>
      </c>
      <c r="R383" s="343">
        <v>20.473540320999895</v>
      </c>
      <c r="S383" s="343">
        <v>7.1375762509999632</v>
      </c>
      <c r="T383" s="270">
        <v>0.67</v>
      </c>
      <c r="U383" s="270">
        <v>0.05</v>
      </c>
      <c r="Y383" s="344">
        <v>732.13592199359414</v>
      </c>
    </row>
    <row r="384" spans="2:25" ht="17.399999999999999" thickTop="1" thickBot="1">
      <c r="B384" s="216">
        <v>37.799999999999898</v>
      </c>
      <c r="P384" s="342">
        <v>302.12821799999836</v>
      </c>
      <c r="Q384" s="343">
        <v>58.913930879999675</v>
      </c>
      <c r="R384" s="343">
        <v>20.582297315999888</v>
      </c>
      <c r="S384" s="343">
        <v>7.1754915959999606</v>
      </c>
      <c r="T384" s="270">
        <v>0.67</v>
      </c>
      <c r="U384" s="270">
        <v>0.05</v>
      </c>
      <c r="Y384" s="344">
        <v>737.89105395839385</v>
      </c>
    </row>
    <row r="385" spans="2:25" ht="17.399999999999999" thickTop="1" thickBot="1">
      <c r="B385" s="103">
        <v>37.899999999999899</v>
      </c>
      <c r="P385" s="342">
        <v>303.72889449999838</v>
      </c>
      <c r="Q385" s="343">
        <v>59.22605711999968</v>
      </c>
      <c r="R385" s="343">
        <v>20.691342408999891</v>
      </c>
      <c r="S385" s="343">
        <v>7.213507378999962</v>
      </c>
      <c r="T385" s="270">
        <v>0.68</v>
      </c>
      <c r="U385" s="270">
        <v>0.05</v>
      </c>
      <c r="Y385" s="344">
        <v>743.67638738879418</v>
      </c>
    </row>
    <row r="386" spans="2:25" ht="17.399999999999999" thickTop="1" thickBot="1">
      <c r="B386" s="216">
        <v>37.999999999999901</v>
      </c>
      <c r="P386" s="342">
        <v>305.3337999999984</v>
      </c>
      <c r="Q386" s="343">
        <v>59.53900799999969</v>
      </c>
      <c r="R386" s="343">
        <v>20.800675599999892</v>
      </c>
      <c r="S386" s="343">
        <v>7.251623599999963</v>
      </c>
      <c r="T386" s="270">
        <v>0.68</v>
      </c>
      <c r="U386" s="270">
        <v>0.05</v>
      </c>
      <c r="Y386" s="344">
        <v>749.4920015999943</v>
      </c>
    </row>
    <row r="387" spans="2:25" ht="17.399999999999999" thickTop="1" thickBot="1">
      <c r="B387" s="103">
        <v>38.099999999999902</v>
      </c>
      <c r="P387" s="342">
        <v>306.94293449999844</v>
      </c>
      <c r="Q387" s="343">
        <v>59.85278351999969</v>
      </c>
      <c r="R387" s="343">
        <v>20.910296888999895</v>
      </c>
      <c r="S387" s="343">
        <v>7.2898402589999636</v>
      </c>
      <c r="T387" s="270">
        <v>0.68</v>
      </c>
      <c r="U387" s="270">
        <v>0.05</v>
      </c>
      <c r="Y387" s="344">
        <v>755.33797590719416</v>
      </c>
    </row>
    <row r="388" spans="2:25" ht="17.399999999999999" thickTop="1" thickBot="1">
      <c r="B388" s="216">
        <v>38.199999999999903</v>
      </c>
      <c r="P388" s="342">
        <v>308.55629799999843</v>
      </c>
      <c r="Q388" s="343">
        <v>60.167383679999688</v>
      </c>
      <c r="R388" s="343">
        <v>21.020206275999893</v>
      </c>
      <c r="S388" s="343">
        <v>7.3281573559999629</v>
      </c>
      <c r="T388" s="270">
        <v>0.69</v>
      </c>
      <c r="U388" s="270">
        <v>0.05</v>
      </c>
      <c r="Y388" s="344">
        <v>761.21438962559409</v>
      </c>
    </row>
    <row r="389" spans="2:25" ht="17.399999999999999" thickTop="1" thickBot="1">
      <c r="B389" s="103">
        <v>38.299999999999898</v>
      </c>
      <c r="P389" s="342">
        <v>310.17389049999832</v>
      </c>
      <c r="Q389" s="343">
        <v>60.482808479999676</v>
      </c>
      <c r="R389" s="343">
        <v>21.130403760999886</v>
      </c>
      <c r="S389" s="343">
        <v>7.3665748909999609</v>
      </c>
      <c r="T389" s="270">
        <v>0.69</v>
      </c>
      <c r="U389" s="270">
        <v>0.05</v>
      </c>
      <c r="Y389" s="344">
        <v>767.12132207039372</v>
      </c>
    </row>
    <row r="390" spans="2:25" ht="17.399999999999999" thickTop="1" thickBot="1">
      <c r="B390" s="216">
        <v>38.399999999999899</v>
      </c>
      <c r="P390" s="342">
        <v>311.79571199999833</v>
      </c>
      <c r="Q390" s="343">
        <v>60.799057919999676</v>
      </c>
      <c r="R390" s="343">
        <v>21.240889343999889</v>
      </c>
      <c r="S390" s="343">
        <v>7.4050928639999611</v>
      </c>
      <c r="T390" s="270">
        <v>0.69</v>
      </c>
      <c r="U390" s="270">
        <v>0.05</v>
      </c>
      <c r="Y390" s="344">
        <v>773.05885255679414</v>
      </c>
    </row>
    <row r="391" spans="2:25" ht="17.399999999999999" thickTop="1" thickBot="1">
      <c r="B391" s="103">
        <v>38.499999999999901</v>
      </c>
      <c r="P391" s="342">
        <v>313.42176249999835</v>
      </c>
      <c r="Q391" s="343">
        <v>61.116131999999681</v>
      </c>
      <c r="R391" s="343">
        <v>21.351663024999887</v>
      </c>
      <c r="S391" s="343">
        <v>7.443711274999961</v>
      </c>
      <c r="T391" s="270">
        <v>0.7</v>
      </c>
      <c r="U391" s="270">
        <v>0.05</v>
      </c>
      <c r="Y391" s="344">
        <v>779.02706039999418</v>
      </c>
    </row>
    <row r="392" spans="2:25" ht="17.399999999999999" thickTop="1" thickBot="1">
      <c r="B392" s="216">
        <v>38.599999999999902</v>
      </c>
      <c r="P392" s="342">
        <v>315.05204199999844</v>
      </c>
      <c r="Q392" s="343">
        <v>61.43403071999969</v>
      </c>
      <c r="R392" s="343">
        <v>21.462724803999894</v>
      </c>
      <c r="S392" s="343">
        <v>7.4824301239999631</v>
      </c>
      <c r="T392" s="270">
        <v>0.7</v>
      </c>
      <c r="U392" s="270">
        <v>0.06</v>
      </c>
      <c r="Y392" s="344">
        <v>785.02602491519417</v>
      </c>
    </row>
    <row r="393" spans="2:25" ht="17.399999999999999" thickTop="1" thickBot="1">
      <c r="B393" s="103">
        <v>38.699999999999903</v>
      </c>
      <c r="P393" s="342">
        <v>316.68655049999842</v>
      </c>
      <c r="Q393" s="343">
        <v>61.75275407999969</v>
      </c>
      <c r="R393" s="343">
        <v>21.574074680999892</v>
      </c>
      <c r="S393" s="343">
        <v>7.521249410999963</v>
      </c>
      <c r="T393" s="270">
        <v>0.7</v>
      </c>
      <c r="U393" s="270">
        <v>0.06</v>
      </c>
      <c r="Y393" s="344">
        <v>791.05582541759395</v>
      </c>
    </row>
    <row r="394" spans="2:25" ht="17.399999999999999" thickTop="1" thickBot="1">
      <c r="B394" s="216">
        <v>38.799999999999898</v>
      </c>
      <c r="P394" s="342">
        <v>318.32528799999835</v>
      </c>
      <c r="Q394" s="343">
        <v>62.072302079999673</v>
      </c>
      <c r="R394" s="343">
        <v>21.685712655999886</v>
      </c>
      <c r="S394" s="343">
        <v>7.5601691359999608</v>
      </c>
      <c r="T394" s="270">
        <v>0.71</v>
      </c>
      <c r="U394" s="270">
        <v>0.06</v>
      </c>
      <c r="Y394" s="344">
        <v>797.11654122239349</v>
      </c>
    </row>
    <row r="395" spans="2:25" ht="17.399999999999999" thickTop="1" thickBot="1">
      <c r="B395" s="103">
        <v>38.899999999999899</v>
      </c>
      <c r="P395" s="342">
        <v>319.9682544999983</v>
      </c>
      <c r="Q395" s="343">
        <v>62.392674719999668</v>
      </c>
      <c r="R395" s="343">
        <v>21.797638728999885</v>
      </c>
      <c r="S395" s="343">
        <v>7.5991892989999608</v>
      </c>
      <c r="T395" s="270">
        <v>0.71</v>
      </c>
      <c r="U395" s="270">
        <v>0.06</v>
      </c>
      <c r="Y395" s="344">
        <v>803.20825164479379</v>
      </c>
    </row>
    <row r="396" spans="2:25" ht="17.399999999999999" thickTop="1" thickBot="1">
      <c r="B396" s="216">
        <v>38.999999999999901</v>
      </c>
      <c r="P396" s="342">
        <v>321.61544999999836</v>
      </c>
      <c r="Q396" s="343">
        <v>62.713871999999675</v>
      </c>
      <c r="R396" s="343">
        <v>21.909852899999887</v>
      </c>
      <c r="S396" s="343">
        <v>7.6383098999999612</v>
      </c>
      <c r="T396" s="270">
        <v>0.72</v>
      </c>
      <c r="U396" s="270">
        <v>0.06</v>
      </c>
      <c r="Y396" s="344">
        <v>809.33103599999379</v>
      </c>
    </row>
    <row r="397" spans="2:25" ht="17.399999999999999" thickTop="1" thickBot="1">
      <c r="B397" s="103">
        <v>39.099999999999902</v>
      </c>
      <c r="P397" s="342">
        <v>323.26687449999838</v>
      </c>
      <c r="Q397" s="343">
        <v>63.035893919999687</v>
      </c>
      <c r="R397" s="343">
        <v>22.022355168999891</v>
      </c>
      <c r="S397" s="343">
        <v>7.6775309389999622</v>
      </c>
      <c r="T397" s="270">
        <v>0.72</v>
      </c>
      <c r="U397" s="270">
        <v>0.06</v>
      </c>
      <c r="Y397" s="344">
        <v>815.48497360319379</v>
      </c>
    </row>
    <row r="398" spans="2:25" ht="17.399999999999999" thickTop="1" thickBot="1">
      <c r="B398" s="216">
        <v>39.199999999999903</v>
      </c>
      <c r="P398" s="342">
        <v>324.92252799999841</v>
      </c>
      <c r="Q398" s="343">
        <v>63.358740479999682</v>
      </c>
      <c r="R398" s="343">
        <v>22.135145535999889</v>
      </c>
      <c r="S398" s="343">
        <v>7.7168524159999619</v>
      </c>
      <c r="T398" s="270">
        <v>0.72</v>
      </c>
      <c r="U398" s="270">
        <v>0.06</v>
      </c>
      <c r="Y398" s="344">
        <v>821.67014376959366</v>
      </c>
    </row>
    <row r="399" spans="2:25" ht="17.399999999999999" thickTop="1" thickBot="1">
      <c r="B399" s="103">
        <v>39.299999999999898</v>
      </c>
      <c r="P399" s="342">
        <v>326.58241049999833</v>
      </c>
      <c r="Q399" s="343">
        <v>63.682411679999667</v>
      </c>
      <c r="R399" s="343">
        <v>22.248224000999887</v>
      </c>
      <c r="S399" s="343">
        <v>7.7562743309999602</v>
      </c>
      <c r="T399" s="270">
        <v>0.73</v>
      </c>
      <c r="U399" s="270">
        <v>0.06</v>
      </c>
      <c r="Y399" s="344">
        <v>827.88662581439326</v>
      </c>
    </row>
    <row r="400" spans="2:25" ht="17.399999999999999" thickTop="1" thickBot="1">
      <c r="B400" s="216">
        <v>39.399999999999899</v>
      </c>
      <c r="P400" s="342">
        <v>328.24652199999832</v>
      </c>
      <c r="Q400" s="343">
        <v>64.006907519999658</v>
      </c>
      <c r="R400" s="343">
        <v>22.361590563999883</v>
      </c>
      <c r="S400" s="343">
        <v>7.79579668399996</v>
      </c>
      <c r="T400" s="270">
        <v>0.73</v>
      </c>
      <c r="U400" s="270">
        <v>0.06</v>
      </c>
      <c r="Y400" s="344">
        <v>834.13449905279367</v>
      </c>
    </row>
    <row r="401" spans="2:25" ht="17.399999999999999" thickTop="1" thickBot="1">
      <c r="B401" s="103">
        <v>39.499999999999901</v>
      </c>
      <c r="P401" s="342">
        <v>329.91486249999832</v>
      </c>
      <c r="Q401" s="343">
        <v>64.332227999999674</v>
      </c>
      <c r="R401" s="343">
        <v>22.475245224999885</v>
      </c>
      <c r="S401" s="343">
        <v>7.8354194749999602</v>
      </c>
      <c r="T401" s="270">
        <v>0.73</v>
      </c>
      <c r="U401" s="270">
        <v>0.06</v>
      </c>
      <c r="Y401" s="344">
        <v>840.41384279999374</v>
      </c>
    </row>
    <row r="402" spans="2:25" ht="17.399999999999999" thickTop="1" thickBot="1">
      <c r="B402" s="216">
        <v>39.599999999999902</v>
      </c>
      <c r="P402" s="342">
        <v>331.58743199999833</v>
      </c>
      <c r="Q402" s="343">
        <v>64.658373119999666</v>
      </c>
      <c r="R402" s="343">
        <v>22.589187983999885</v>
      </c>
      <c r="S402" s="343">
        <v>7.8751427039999609</v>
      </c>
      <c r="T402" s="270">
        <v>0.74</v>
      </c>
      <c r="U402" s="270">
        <v>0.06</v>
      </c>
      <c r="Y402" s="344">
        <v>846.72473637119379</v>
      </c>
    </row>
    <row r="403" spans="2:25" ht="17.399999999999999" thickTop="1" thickBot="1">
      <c r="B403" s="103">
        <v>39.699999999999903</v>
      </c>
      <c r="P403" s="342">
        <v>333.2642304999984</v>
      </c>
      <c r="Q403" s="343">
        <v>64.985342879999678</v>
      </c>
      <c r="R403" s="343">
        <v>22.703418840999891</v>
      </c>
      <c r="S403" s="343">
        <v>7.914966370999962</v>
      </c>
      <c r="T403" s="270">
        <v>0.74</v>
      </c>
      <c r="U403" s="270">
        <v>0.06</v>
      </c>
      <c r="Y403" s="344">
        <v>853.06725908159376</v>
      </c>
    </row>
    <row r="404" spans="2:25" ht="17.399999999999999" thickTop="1" thickBot="1">
      <c r="B404" s="216">
        <v>39.799999999999898</v>
      </c>
      <c r="P404" s="342">
        <v>334.94525799999826</v>
      </c>
      <c r="Q404" s="343">
        <v>65.313137279999651</v>
      </c>
      <c r="R404" s="343">
        <v>22.817937795999882</v>
      </c>
      <c r="S404" s="343">
        <v>7.9548904759999592</v>
      </c>
      <c r="T404" s="270">
        <v>0.75</v>
      </c>
      <c r="U404" s="270">
        <v>0.06</v>
      </c>
      <c r="Y404" s="344">
        <v>859.44149024639296</v>
      </c>
    </row>
    <row r="405" spans="2:25" ht="17.399999999999999" thickTop="1" thickBot="1">
      <c r="B405" s="103">
        <v>39.899999999999899</v>
      </c>
      <c r="P405" s="342">
        <v>336.6305144999983</v>
      </c>
      <c r="Q405" s="343">
        <v>65.641756319999672</v>
      </c>
      <c r="R405" s="343">
        <v>22.932744848999885</v>
      </c>
      <c r="S405" s="343">
        <v>7.9949150189999605</v>
      </c>
      <c r="T405" s="270">
        <v>0.75</v>
      </c>
      <c r="U405" s="270">
        <v>0.06</v>
      </c>
      <c r="Y405" s="344">
        <v>865.84750918079362</v>
      </c>
    </row>
    <row r="406" spans="2:25" ht="17.399999999999999" thickTop="1" thickBot="1">
      <c r="B406" s="216">
        <v>39.999999999999901</v>
      </c>
      <c r="P406" s="342">
        <v>338.31999999999829</v>
      </c>
      <c r="Q406" s="343">
        <v>65.971199999999669</v>
      </c>
      <c r="R406" s="343">
        <v>23.047839999999887</v>
      </c>
      <c r="S406" s="343">
        <v>8.0350399999999595</v>
      </c>
      <c r="T406" s="270">
        <v>0.75</v>
      </c>
      <c r="U406" s="270">
        <v>0.06</v>
      </c>
      <c r="Y406" s="344">
        <v>872.28539519999367</v>
      </c>
    </row>
    <row r="407" spans="2:25" ht="17.399999999999999" thickTop="1" thickBot="1">
      <c r="B407" s="103">
        <v>40.099999999999902</v>
      </c>
      <c r="P407" s="342">
        <v>340.01371449999829</v>
      </c>
      <c r="Q407" s="343">
        <v>66.301468319999671</v>
      </c>
      <c r="R407" s="343">
        <v>23.163223248999884</v>
      </c>
      <c r="S407" s="343">
        <v>8.07526541899996</v>
      </c>
      <c r="T407" s="270">
        <v>0.76</v>
      </c>
      <c r="U407" s="270">
        <v>0.06</v>
      </c>
      <c r="Y407" s="344">
        <v>878.75522761919353</v>
      </c>
    </row>
    <row r="408" spans="2:25" ht="17.399999999999999" thickTop="1" thickBot="1">
      <c r="B408" s="216">
        <v>40.199999999999903</v>
      </c>
      <c r="P408" s="342">
        <v>341.71165799999835</v>
      </c>
      <c r="Q408" s="343">
        <v>66.632561279999678</v>
      </c>
      <c r="R408" s="343">
        <v>23.278894595999887</v>
      </c>
      <c r="S408" s="343">
        <v>8.1155912759999609</v>
      </c>
      <c r="T408" s="270">
        <v>0.76</v>
      </c>
      <c r="U408" s="270">
        <v>0.06</v>
      </c>
      <c r="Y408" s="344">
        <v>885.25708575359329</v>
      </c>
    </row>
    <row r="409" spans="2:25" ht="17.399999999999999" thickTop="1" thickBot="1">
      <c r="B409" s="103">
        <v>40.299999999999898</v>
      </c>
      <c r="P409" s="342">
        <v>343.41383049999826</v>
      </c>
      <c r="Q409" s="343">
        <v>66.96447887999966</v>
      </c>
      <c r="R409" s="343">
        <v>23.394854040999881</v>
      </c>
      <c r="S409" s="343">
        <v>8.1560175709999587</v>
      </c>
      <c r="T409" s="270">
        <v>0.76</v>
      </c>
      <c r="U409" s="270">
        <v>0.06</v>
      </c>
      <c r="Y409" s="344">
        <v>891.79104891839313</v>
      </c>
    </row>
    <row r="410" spans="2:25" ht="17.399999999999999" thickTop="1" thickBot="1">
      <c r="B410" s="216">
        <v>40.399999999999899</v>
      </c>
      <c r="P410" s="342">
        <v>345.12023199999828</v>
      </c>
      <c r="Q410" s="343">
        <v>67.297221119999662</v>
      </c>
      <c r="R410" s="343">
        <v>23.511101583999885</v>
      </c>
      <c r="S410" s="343">
        <v>8.1965443039999588</v>
      </c>
      <c r="T410" s="270">
        <v>0.77</v>
      </c>
      <c r="U410" s="270">
        <v>0.06</v>
      </c>
      <c r="Y410" s="344">
        <v>898.35719642879349</v>
      </c>
    </row>
    <row r="411" spans="2:25" ht="17.399999999999999" thickTop="1" thickBot="1">
      <c r="B411" s="103">
        <v>40.499999999999901</v>
      </c>
      <c r="P411" s="342">
        <v>346.83086249999832</v>
      </c>
      <c r="Q411" s="343">
        <v>67.630787999999669</v>
      </c>
      <c r="R411" s="343">
        <v>23.627637224999884</v>
      </c>
      <c r="S411" s="343">
        <v>8.2371714749999612</v>
      </c>
      <c r="T411" s="270">
        <v>0.77</v>
      </c>
      <c r="U411" s="270">
        <v>0.06</v>
      </c>
      <c r="Y411" s="344">
        <v>904.95560759999341</v>
      </c>
    </row>
    <row r="412" spans="2:25" ht="17.399999999999999" thickTop="1" thickBot="1">
      <c r="B412" s="216">
        <v>40.599999999999902</v>
      </c>
      <c r="P412" s="342">
        <v>348.54572199999831</v>
      </c>
      <c r="Q412" s="343">
        <v>67.965179519999666</v>
      </c>
      <c r="R412" s="343">
        <v>23.744460963999884</v>
      </c>
      <c r="S412" s="343">
        <v>8.2778990839999604</v>
      </c>
      <c r="T412" s="270">
        <v>0.78</v>
      </c>
      <c r="U412" s="270">
        <v>0.06</v>
      </c>
      <c r="Y412" s="344">
        <v>911.58636174719322</v>
      </c>
    </row>
    <row r="413" spans="2:25" ht="17.399999999999999" thickTop="1" thickBot="1">
      <c r="B413" s="103">
        <v>40.699999999999903</v>
      </c>
      <c r="P413" s="342">
        <v>350.2648104999983</v>
      </c>
      <c r="Q413" s="343">
        <v>68.300395679999667</v>
      </c>
      <c r="R413" s="343">
        <v>23.861572800999884</v>
      </c>
      <c r="S413" s="343">
        <v>8.3187271309999602</v>
      </c>
      <c r="T413" s="270">
        <v>0.78</v>
      </c>
      <c r="U413" s="270">
        <v>0.06</v>
      </c>
      <c r="Y413" s="344">
        <v>918.24953818559356</v>
      </c>
    </row>
    <row r="414" spans="2:25" ht="17.399999999999999" thickTop="1" thickBot="1">
      <c r="B414" s="216">
        <v>40.799999999999898</v>
      </c>
      <c r="P414" s="342">
        <v>351.98812799999826</v>
      </c>
      <c r="Q414" s="343">
        <v>68.636436479999659</v>
      </c>
      <c r="R414" s="343">
        <v>23.978972735999879</v>
      </c>
      <c r="S414" s="343">
        <v>8.3596556159999587</v>
      </c>
      <c r="T414" s="270">
        <v>0.78</v>
      </c>
      <c r="U414" s="270">
        <v>0.06</v>
      </c>
      <c r="Y414" s="344">
        <v>924.94521623039293</v>
      </c>
    </row>
    <row r="415" spans="2:25" ht="17.399999999999999" thickTop="1" thickBot="1">
      <c r="B415" s="103">
        <v>40.899999999999899</v>
      </c>
      <c r="P415" s="342">
        <v>353.71567449999827</v>
      </c>
      <c r="Q415" s="343">
        <v>68.973301919999656</v>
      </c>
      <c r="R415" s="343">
        <v>24.096660768999882</v>
      </c>
      <c r="S415" s="343">
        <v>8.4006845389999594</v>
      </c>
      <c r="T415" s="270">
        <v>0.79</v>
      </c>
      <c r="U415" s="270">
        <v>0.06</v>
      </c>
      <c r="Y415" s="344">
        <v>931.67347519679322</v>
      </c>
    </row>
    <row r="416" spans="2:25" ht="17.399999999999999" thickTop="1" thickBot="1">
      <c r="B416" s="216">
        <v>40.999999999999901</v>
      </c>
      <c r="P416" s="342">
        <v>355.44744999999824</v>
      </c>
      <c r="Q416" s="343">
        <v>69.310991999999658</v>
      </c>
      <c r="R416" s="343">
        <v>24.214636899999881</v>
      </c>
      <c r="S416" s="343">
        <v>8.4418138999999588</v>
      </c>
      <c r="T416" s="270">
        <v>0.79</v>
      </c>
      <c r="U416" s="270">
        <v>0.06</v>
      </c>
      <c r="Y416" s="344">
        <v>938.43439439999327</v>
      </c>
    </row>
    <row r="417" spans="2:25" ht="17.399999999999999" thickTop="1" thickBot="1">
      <c r="B417" s="103">
        <v>41.099999999999902</v>
      </c>
      <c r="P417" s="342">
        <v>357.18345449999828</v>
      </c>
      <c r="Q417" s="343">
        <v>69.649506719999664</v>
      </c>
      <c r="R417" s="343">
        <v>24.332901128999882</v>
      </c>
      <c r="S417" s="343">
        <v>8.4830436989999587</v>
      </c>
      <c r="T417" s="270">
        <v>0.79</v>
      </c>
      <c r="U417" s="270">
        <v>0.06</v>
      </c>
      <c r="Y417" s="344">
        <v>945.22805315519304</v>
      </c>
    </row>
    <row r="418" spans="2:25" ht="17.399999999999999" thickTop="1" thickBot="1">
      <c r="B418" s="216">
        <v>41.199999999999903</v>
      </c>
      <c r="P418" s="342">
        <v>358.92368799999832</v>
      </c>
      <c r="Q418" s="343">
        <v>69.988846079999675</v>
      </c>
      <c r="R418" s="343">
        <v>24.451453455999886</v>
      </c>
      <c r="S418" s="343">
        <v>8.5243739359999608</v>
      </c>
      <c r="T418" s="270">
        <v>0.8</v>
      </c>
      <c r="U418" s="270">
        <v>0.06</v>
      </c>
      <c r="Y418" s="344">
        <v>952.05453077759341</v>
      </c>
    </row>
    <row r="419" spans="2:25" ht="17.399999999999999" thickTop="1" thickBot="1">
      <c r="B419" s="103">
        <v>41.299999999999898</v>
      </c>
      <c r="P419" s="342">
        <v>360.66815049999821</v>
      </c>
      <c r="Q419" s="343">
        <v>70.329010079999648</v>
      </c>
      <c r="R419" s="343">
        <v>24.570293880999881</v>
      </c>
      <c r="S419" s="343">
        <v>8.5658046109999582</v>
      </c>
      <c r="T419" s="270">
        <v>0.8</v>
      </c>
      <c r="U419" s="270">
        <v>0.06</v>
      </c>
      <c r="Y419" s="344">
        <v>958.91390658239254</v>
      </c>
    </row>
    <row r="420" spans="2:25" ht="17.399999999999999" thickTop="1" thickBot="1">
      <c r="B420" s="216">
        <v>41.399999999999899</v>
      </c>
      <c r="P420" s="342">
        <v>362.41684199999821</v>
      </c>
      <c r="Q420" s="343">
        <v>70.669998719999654</v>
      </c>
      <c r="R420" s="343">
        <v>24.689422403999881</v>
      </c>
      <c r="S420" s="343">
        <v>8.6073357239999577</v>
      </c>
      <c r="T420" s="270">
        <v>0.81</v>
      </c>
      <c r="U420" s="270">
        <v>0.06</v>
      </c>
      <c r="Y420" s="344">
        <v>965.80625988479301</v>
      </c>
    </row>
    <row r="421" spans="2:25" ht="17.399999999999999" thickTop="1" thickBot="1">
      <c r="B421" s="103">
        <v>41.499999999999901</v>
      </c>
      <c r="P421" s="342">
        <v>364.16976249999828</v>
      </c>
      <c r="Q421" s="343">
        <v>71.011811999999665</v>
      </c>
      <c r="R421" s="343">
        <v>24.808839024999884</v>
      </c>
      <c r="S421" s="343">
        <v>8.6489672749999595</v>
      </c>
      <c r="T421" s="270">
        <v>0.81</v>
      </c>
      <c r="U421" s="270">
        <v>0.06</v>
      </c>
      <c r="Y421" s="344">
        <v>972.73166999999296</v>
      </c>
    </row>
    <row r="422" spans="2:25" ht="17.399999999999999" thickTop="1" thickBot="1">
      <c r="B422" s="216">
        <v>41.599999999999902</v>
      </c>
      <c r="P422" s="342">
        <v>365.92691199999825</v>
      </c>
      <c r="Q422" s="343">
        <v>71.354449919999652</v>
      </c>
      <c r="R422" s="343">
        <v>24.928543743999882</v>
      </c>
      <c r="S422" s="343">
        <v>8.6906992639999583</v>
      </c>
      <c r="T422" s="270">
        <v>0.81</v>
      </c>
      <c r="U422" s="270">
        <v>0.06</v>
      </c>
      <c r="Y422" s="344">
        <v>979.69021624319294</v>
      </c>
    </row>
    <row r="423" spans="2:25" ht="17.399999999999999" thickTop="1" thickBot="1">
      <c r="B423" s="103">
        <v>41.699999999999903</v>
      </c>
      <c r="P423" s="342">
        <v>367.68829049999829</v>
      </c>
      <c r="Q423" s="343">
        <v>71.697912479999658</v>
      </c>
      <c r="R423" s="343">
        <v>25.048536560999885</v>
      </c>
      <c r="S423" s="343">
        <v>8.7325316909999593</v>
      </c>
      <c r="T423" s="270">
        <v>0.82</v>
      </c>
      <c r="U423" s="270">
        <v>0.06</v>
      </c>
      <c r="Y423" s="344">
        <v>986.68197792959302</v>
      </c>
    </row>
    <row r="424" spans="2:25" ht="17.399999999999999" thickTop="1" thickBot="1">
      <c r="B424" s="216">
        <v>41.799999999999898</v>
      </c>
      <c r="P424" s="342">
        <v>369.45389799999816</v>
      </c>
      <c r="Q424" s="343">
        <v>72.042199679999641</v>
      </c>
      <c r="R424" s="343">
        <v>25.168817475999877</v>
      </c>
      <c r="S424" s="343">
        <v>8.7744645559999572</v>
      </c>
      <c r="T424" s="270">
        <v>0.82</v>
      </c>
      <c r="U424" s="270">
        <v>0.06</v>
      </c>
      <c r="Y424" s="344">
        <v>993.70703437439249</v>
      </c>
    </row>
    <row r="425" spans="2:25" ht="17.399999999999999" thickTop="1" thickBot="1">
      <c r="B425" s="103">
        <v>41.899999999999899</v>
      </c>
      <c r="P425" s="342">
        <v>371.22373449999822</v>
      </c>
      <c r="Q425" s="343">
        <v>72.387311519999642</v>
      </c>
      <c r="R425" s="343">
        <v>25.289386488999877</v>
      </c>
      <c r="S425" s="343">
        <v>8.8164978589999574</v>
      </c>
      <c r="T425" s="270">
        <v>0.83</v>
      </c>
      <c r="U425" s="270">
        <v>0.06</v>
      </c>
      <c r="Y425" s="344">
        <v>1000.7654648927928</v>
      </c>
    </row>
    <row r="426" spans="2:25" ht="17.399999999999999" thickTop="1" thickBot="1">
      <c r="B426" s="216">
        <v>41.999999999999901</v>
      </c>
      <c r="P426" s="342">
        <v>372.99779999999822</v>
      </c>
      <c r="Q426" s="343">
        <v>72.733247999999648</v>
      </c>
      <c r="R426" s="343">
        <v>25.41024359999988</v>
      </c>
      <c r="S426" s="343">
        <v>8.8586315999999581</v>
      </c>
      <c r="T426" s="270">
        <v>0.83</v>
      </c>
      <c r="U426" s="270">
        <v>7.0000000000000007E-2</v>
      </c>
      <c r="Y426" s="344">
        <v>1007.8573487999929</v>
      </c>
    </row>
    <row r="427" spans="2:25" ht="17.399999999999999" thickTop="1" thickBot="1">
      <c r="B427" s="103">
        <v>42.099999999999902</v>
      </c>
      <c r="P427" s="342">
        <v>374.77609449999824</v>
      </c>
      <c r="Q427" s="343">
        <v>73.080009119999659</v>
      </c>
      <c r="R427" s="343">
        <v>25.531388808999878</v>
      </c>
      <c r="S427" s="343">
        <v>8.9008657789999592</v>
      </c>
      <c r="T427" s="270">
        <v>0.83</v>
      </c>
      <c r="U427" s="270">
        <v>7.0000000000000007E-2</v>
      </c>
      <c r="Y427" s="344">
        <v>1014.9827654111928</v>
      </c>
    </row>
    <row r="428" spans="2:25" ht="17.399999999999999" thickTop="1" thickBot="1">
      <c r="B428" s="216">
        <v>42.199999999999903</v>
      </c>
      <c r="P428" s="342">
        <v>376.55861799999826</v>
      </c>
      <c r="Q428" s="343">
        <v>73.42759487999966</v>
      </c>
      <c r="R428" s="343">
        <v>25.652822115999882</v>
      </c>
      <c r="S428" s="343">
        <v>8.9432003959999591</v>
      </c>
      <c r="T428" s="270">
        <v>0.84</v>
      </c>
      <c r="U428" s="270">
        <v>7.0000000000000007E-2</v>
      </c>
      <c r="Y428" s="344">
        <v>1022.1417940415929</v>
      </c>
    </row>
    <row r="429" spans="2:25" ht="17.399999999999999" thickTop="1" thickBot="1">
      <c r="B429" s="103">
        <v>42.299999999999898</v>
      </c>
      <c r="P429" s="342">
        <v>378.34537049999818</v>
      </c>
      <c r="Q429" s="343">
        <v>73.776005279999637</v>
      </c>
      <c r="R429" s="343">
        <v>25.774543520999874</v>
      </c>
      <c r="S429" s="343">
        <v>8.9856354509999559</v>
      </c>
      <c r="T429" s="270">
        <v>0.84</v>
      </c>
      <c r="U429" s="270">
        <v>7.0000000000000007E-2</v>
      </c>
      <c r="Y429" s="344">
        <v>1029.3345140063923</v>
      </c>
    </row>
    <row r="430" spans="2:25" ht="17.399999999999999" thickTop="1" thickBot="1">
      <c r="B430" s="216">
        <v>42.399999999999899</v>
      </c>
      <c r="P430" s="342">
        <v>380.13635199999817</v>
      </c>
      <c r="Q430" s="343">
        <v>74.125240319999634</v>
      </c>
      <c r="R430" s="343">
        <v>25.896553023999875</v>
      </c>
      <c r="S430" s="343">
        <v>9.0281709439999567</v>
      </c>
      <c r="T430" s="270">
        <v>0.85</v>
      </c>
      <c r="U430" s="270">
        <v>7.0000000000000007E-2</v>
      </c>
      <c r="Y430" s="344">
        <v>1036.5610046207928</v>
      </c>
    </row>
    <row r="431" spans="2:25" ht="17.399999999999999" thickTop="1" thickBot="1">
      <c r="B431" s="103">
        <v>42.499999999999901</v>
      </c>
      <c r="P431" s="342">
        <v>381.93156249999822</v>
      </c>
      <c r="Q431" s="343">
        <v>74.475299999999649</v>
      </c>
      <c r="R431" s="343">
        <v>26.018850624999878</v>
      </c>
      <c r="S431" s="343">
        <v>9.070806874999958</v>
      </c>
      <c r="T431" s="270">
        <v>0.85</v>
      </c>
      <c r="U431" s="270">
        <v>7.0000000000000007E-2</v>
      </c>
      <c r="Y431" s="344">
        <v>1043.8213451999927</v>
      </c>
    </row>
    <row r="432" spans="2:25" ht="17.399999999999999" thickTop="1" thickBot="1">
      <c r="B432" s="216">
        <v>42.599999999999902</v>
      </c>
      <c r="P432" s="342">
        <v>383.73100199999823</v>
      </c>
      <c r="Q432" s="343">
        <v>74.826184319999655</v>
      </c>
      <c r="R432" s="343">
        <v>26.14143632399988</v>
      </c>
      <c r="S432" s="343">
        <v>9.113543243999958</v>
      </c>
      <c r="T432" s="270">
        <v>0.85</v>
      </c>
      <c r="U432" s="270">
        <v>7.0000000000000007E-2</v>
      </c>
      <c r="Y432" s="344">
        <v>1051.1156150591928</v>
      </c>
    </row>
    <row r="433" spans="2:25" ht="17.399999999999999" thickTop="1" thickBot="1">
      <c r="B433" s="103">
        <v>42.699999999999903</v>
      </c>
      <c r="P433" s="342">
        <v>385.53467049999824</v>
      </c>
      <c r="Q433" s="343">
        <v>75.177893279999651</v>
      </c>
      <c r="R433" s="343">
        <v>26.26431012099988</v>
      </c>
      <c r="S433" s="343">
        <v>9.1563800509999584</v>
      </c>
      <c r="T433" s="270">
        <v>0.86</v>
      </c>
      <c r="U433" s="270">
        <v>7.0000000000000007E-2</v>
      </c>
      <c r="Y433" s="344">
        <v>1058.4438935135925</v>
      </c>
    </row>
    <row r="434" spans="2:25" ht="17.399999999999999" thickTop="1" thickBot="1">
      <c r="B434" s="216">
        <v>42.799999999999898</v>
      </c>
      <c r="P434" s="342">
        <v>387.34256799999815</v>
      </c>
      <c r="Q434" s="343">
        <v>75.530426879999638</v>
      </c>
      <c r="R434" s="343">
        <v>26.387472015999876</v>
      </c>
      <c r="S434" s="343">
        <v>9.1993172959999558</v>
      </c>
      <c r="T434" s="270">
        <v>0.86</v>
      </c>
      <c r="U434" s="270">
        <v>7.0000000000000007E-2</v>
      </c>
      <c r="Y434" s="344">
        <v>1065.8062598783922</v>
      </c>
    </row>
    <row r="435" spans="2:25" ht="17.399999999999999" thickTop="1" thickBot="1">
      <c r="B435" s="103">
        <v>42.899999999999899</v>
      </c>
      <c r="P435" s="342">
        <v>389.15469449999819</v>
      </c>
      <c r="Q435" s="343">
        <v>75.883785119999644</v>
      </c>
      <c r="R435" s="343">
        <v>26.510922008999877</v>
      </c>
      <c r="S435" s="343">
        <v>9.2423549789999573</v>
      </c>
      <c r="T435" s="270">
        <v>0.87</v>
      </c>
      <c r="U435" s="270">
        <v>7.0000000000000007E-2</v>
      </c>
      <c r="Y435" s="344">
        <v>1073.2027934687926</v>
      </c>
    </row>
    <row r="436" spans="2:25" ht="17.399999999999999" thickTop="1" thickBot="1">
      <c r="B436" s="216">
        <v>42.999999999999901</v>
      </c>
      <c r="P436" s="342">
        <v>390.97104999999817</v>
      </c>
      <c r="Q436" s="343">
        <v>76.23796799999964</v>
      </c>
      <c r="R436" s="343">
        <v>26.634660099999877</v>
      </c>
      <c r="S436" s="343">
        <v>9.2854930999999574</v>
      </c>
      <c r="T436" s="270">
        <v>0.87</v>
      </c>
      <c r="U436" s="270">
        <v>7.0000000000000007E-2</v>
      </c>
      <c r="Y436" s="344">
        <v>1080.6335735999926</v>
      </c>
    </row>
    <row r="437" spans="2:25" ht="17.399999999999999" thickTop="1" thickBot="1">
      <c r="B437" s="103">
        <v>43.099999999999902</v>
      </c>
      <c r="P437" s="342">
        <v>392.79163449999822</v>
      </c>
      <c r="Q437" s="343">
        <v>76.592975519999641</v>
      </c>
      <c r="R437" s="343">
        <v>26.758686288999879</v>
      </c>
      <c r="S437" s="343">
        <v>9.328731658999958</v>
      </c>
      <c r="T437" s="270">
        <v>0.87</v>
      </c>
      <c r="U437" s="270">
        <v>7.0000000000000007E-2</v>
      </c>
      <c r="Y437" s="344">
        <v>1088.0986795871925</v>
      </c>
    </row>
    <row r="438" spans="2:25" ht="17.399999999999999" thickTop="1" thickBot="1">
      <c r="B438" s="216">
        <v>43.199999999999903</v>
      </c>
      <c r="P438" s="342">
        <v>394.61644799999823</v>
      </c>
      <c r="Q438" s="343">
        <v>76.948807679999646</v>
      </c>
      <c r="R438" s="343">
        <v>26.88300057599988</v>
      </c>
      <c r="S438" s="343">
        <v>9.3720706559999574</v>
      </c>
      <c r="T438" s="270">
        <v>0.88</v>
      </c>
      <c r="U438" s="270">
        <v>7.0000000000000007E-2</v>
      </c>
      <c r="Y438" s="344">
        <v>1095.5981907455925</v>
      </c>
    </row>
    <row r="439" spans="2:25" ht="17.399999999999999" thickTop="1" thickBot="1">
      <c r="B439" s="103">
        <v>43.299999999999898</v>
      </c>
      <c r="P439" s="342">
        <v>396.44549049999813</v>
      </c>
      <c r="Q439" s="343">
        <v>77.305464479999628</v>
      </c>
      <c r="R439" s="343">
        <v>27.007602960999872</v>
      </c>
      <c r="S439" s="343">
        <v>9.4155100909999554</v>
      </c>
      <c r="T439" s="270">
        <v>0.88</v>
      </c>
      <c r="U439" s="270">
        <v>7.0000000000000007E-2</v>
      </c>
      <c r="Y439" s="344">
        <v>1103.1321863903916</v>
      </c>
    </row>
    <row r="440" spans="2:25" ht="17.399999999999999" thickTop="1" thickBot="1">
      <c r="B440" s="216">
        <v>43.399999999999899</v>
      </c>
      <c r="P440" s="342">
        <v>398.27876199999815</v>
      </c>
      <c r="Q440" s="343">
        <v>77.662945919999643</v>
      </c>
      <c r="R440" s="343">
        <v>27.132493443999874</v>
      </c>
      <c r="S440" s="343">
        <v>9.4590499639999575</v>
      </c>
      <c r="T440" s="270">
        <v>0.89</v>
      </c>
      <c r="U440" s="270">
        <v>7.0000000000000007E-2</v>
      </c>
      <c r="Y440" s="344">
        <v>1110.7007458367925</v>
      </c>
    </row>
    <row r="441" spans="2:25" ht="17.399999999999999" thickTop="1" thickBot="1">
      <c r="B441" s="103">
        <v>43.499999999999901</v>
      </c>
      <c r="P441" s="342">
        <v>400.11626249999819</v>
      </c>
      <c r="Q441" s="343">
        <v>78.021251999999635</v>
      </c>
      <c r="R441" s="343">
        <v>27.257672024999877</v>
      </c>
      <c r="S441" s="343">
        <v>9.5026902749999564</v>
      </c>
      <c r="T441" s="270">
        <v>0.89</v>
      </c>
      <c r="U441" s="270">
        <v>7.0000000000000007E-2</v>
      </c>
      <c r="Y441" s="344">
        <v>1118.3039483999924</v>
      </c>
    </row>
    <row r="442" spans="2:25" ht="17.399999999999999" thickTop="1" thickBot="1">
      <c r="B442" s="216">
        <v>43.599999999999902</v>
      </c>
      <c r="P442" s="342">
        <v>401.95799199999817</v>
      </c>
      <c r="Q442" s="343">
        <v>78.380382719999645</v>
      </c>
      <c r="R442" s="343">
        <v>27.383138703999876</v>
      </c>
      <c r="S442" s="343">
        <v>9.5464310239999577</v>
      </c>
      <c r="T442" s="270">
        <v>0.89</v>
      </c>
      <c r="U442" s="270">
        <v>7.0000000000000007E-2</v>
      </c>
      <c r="Y442" s="344">
        <v>1125.9418733951923</v>
      </c>
    </row>
    <row r="443" spans="2:25" ht="17.399999999999999" thickTop="1" thickBot="1">
      <c r="B443" s="103">
        <v>43.699999999999903</v>
      </c>
      <c r="P443" s="342">
        <v>403.80395049999822</v>
      </c>
      <c r="Q443" s="343">
        <v>78.740338079999646</v>
      </c>
      <c r="R443" s="343">
        <v>27.50889348099988</v>
      </c>
      <c r="S443" s="343">
        <v>9.5902722109999576</v>
      </c>
      <c r="T443" s="270">
        <v>0.9</v>
      </c>
      <c r="U443" s="270">
        <v>7.0000000000000007E-2</v>
      </c>
      <c r="Y443" s="344">
        <v>1133.6146001375921</v>
      </c>
    </row>
    <row r="444" spans="2:25" ht="17.399999999999999" thickTop="1" thickBot="1">
      <c r="B444" s="216">
        <v>43.799999999999898</v>
      </c>
      <c r="P444" s="342">
        <v>405.65413799999811</v>
      </c>
      <c r="Q444" s="343">
        <v>79.101118079999623</v>
      </c>
      <c r="R444" s="343">
        <v>27.634936355999869</v>
      </c>
      <c r="S444" s="343">
        <v>9.6342138359999545</v>
      </c>
      <c r="T444" s="270">
        <v>0.9</v>
      </c>
      <c r="U444" s="270">
        <v>7.0000000000000007E-2</v>
      </c>
      <c r="Y444" s="344">
        <v>1141.3222079423915</v>
      </c>
    </row>
    <row r="445" spans="2:25" ht="17.399999999999999" thickTop="1" thickBot="1">
      <c r="B445" s="103">
        <v>43.899999999999899</v>
      </c>
      <c r="P445" s="342">
        <v>407.50855449999813</v>
      </c>
      <c r="Q445" s="343">
        <v>79.462722719999633</v>
      </c>
      <c r="R445" s="343">
        <v>27.761267328999871</v>
      </c>
      <c r="S445" s="343">
        <v>9.6782558989999554</v>
      </c>
      <c r="T445" s="270">
        <v>0.91</v>
      </c>
      <c r="U445" s="270">
        <v>7.0000000000000007E-2</v>
      </c>
      <c r="Y445" s="344">
        <v>1149.0647761247922</v>
      </c>
    </row>
    <row r="446" spans="2:25" ht="17.399999999999999" thickTop="1" thickBot="1">
      <c r="B446" s="216">
        <v>43.999999999999901</v>
      </c>
      <c r="P446" s="342">
        <v>409.36719999999815</v>
      </c>
      <c r="Q446" s="343">
        <v>79.825151999999633</v>
      </c>
      <c r="R446" s="343">
        <v>27.887886399999875</v>
      </c>
      <c r="S446" s="343">
        <v>9.7223983999999568</v>
      </c>
      <c r="T446" s="270">
        <v>0.91</v>
      </c>
      <c r="U446" s="270">
        <v>7.0000000000000007E-2</v>
      </c>
      <c r="Y446" s="344">
        <v>1156.8423839999921</v>
      </c>
    </row>
    <row r="447" spans="2:25" ht="17.399999999999999" thickTop="1" thickBot="1">
      <c r="B447" s="103">
        <v>44.099999999999902</v>
      </c>
      <c r="P447" s="342">
        <v>411.23007449999818</v>
      </c>
      <c r="Q447" s="343">
        <v>80.188405919999639</v>
      </c>
      <c r="R447" s="343">
        <v>28.014793568999874</v>
      </c>
      <c r="S447" s="343">
        <v>9.7666413389999569</v>
      </c>
      <c r="T447" s="270">
        <v>0.91</v>
      </c>
      <c r="U447" s="270">
        <v>7.0000000000000007E-2</v>
      </c>
      <c r="Y447" s="344">
        <v>1164.655110883192</v>
      </c>
    </row>
    <row r="448" spans="2:25" ht="17.399999999999999" thickTop="1" thickBot="1">
      <c r="B448" s="216">
        <v>44.199999999999903</v>
      </c>
      <c r="P448" s="342">
        <v>413.09717799999817</v>
      </c>
      <c r="Q448" s="343">
        <v>80.552484479999649</v>
      </c>
      <c r="R448" s="343">
        <v>28.141988835999879</v>
      </c>
      <c r="S448" s="343">
        <v>9.8109847159999575</v>
      </c>
      <c r="T448" s="270">
        <v>0.92</v>
      </c>
      <c r="U448" s="270">
        <v>7.0000000000000007E-2</v>
      </c>
      <c r="Y448" s="344">
        <v>1172.5030360895921</v>
      </c>
    </row>
    <row r="449" spans="2:25" ht="17.399999999999999" thickTop="1" thickBot="1">
      <c r="B449" s="103">
        <v>44.299999999999898</v>
      </c>
      <c r="P449" s="342">
        <v>414.9685104999981</v>
      </c>
      <c r="Q449" s="343">
        <v>80.917387679999621</v>
      </c>
      <c r="R449" s="343">
        <v>28.269472200999868</v>
      </c>
      <c r="S449" s="343">
        <v>9.855428530999955</v>
      </c>
      <c r="T449" s="270">
        <v>0.92</v>
      </c>
      <c r="U449" s="270">
        <v>7.0000000000000007E-2</v>
      </c>
      <c r="Y449" s="344">
        <v>1180.3862389343915</v>
      </c>
    </row>
    <row r="450" spans="2:25" ht="17.399999999999999" thickTop="1" thickBot="1">
      <c r="B450" s="216">
        <v>44.399999999999899</v>
      </c>
      <c r="P450" s="342">
        <v>416.84407199999811</v>
      </c>
      <c r="Q450" s="343">
        <v>81.283115519999626</v>
      </c>
      <c r="R450" s="343">
        <v>28.39724366399987</v>
      </c>
      <c r="S450" s="343">
        <v>9.8999727839999547</v>
      </c>
      <c r="T450" s="270">
        <v>0.93</v>
      </c>
      <c r="U450" s="270">
        <v>7.0000000000000007E-2</v>
      </c>
      <c r="Y450" s="344">
        <v>1188.3047987327921</v>
      </c>
    </row>
    <row r="451" spans="2:25" ht="17.399999999999999" thickTop="1" thickBot="1">
      <c r="B451" s="103">
        <v>44.499999999999901</v>
      </c>
      <c r="P451" s="342">
        <v>418.72386249999812</v>
      </c>
      <c r="Q451" s="343">
        <v>81.649667999999636</v>
      </c>
      <c r="R451" s="343">
        <v>28.525303224999874</v>
      </c>
      <c r="S451" s="343">
        <v>9.944617474999955</v>
      </c>
      <c r="T451" s="270">
        <v>0.93</v>
      </c>
      <c r="U451" s="270">
        <v>7.0000000000000007E-2</v>
      </c>
      <c r="Y451" s="344">
        <v>1196.2587947999921</v>
      </c>
    </row>
    <row r="452" spans="2:25" ht="17.399999999999999" thickTop="1" thickBot="1">
      <c r="B452" s="216">
        <v>44.599999999999902</v>
      </c>
      <c r="P452" s="342">
        <v>420.60788199999814</v>
      </c>
      <c r="Q452" s="343">
        <v>82.017045119999636</v>
      </c>
      <c r="R452" s="343">
        <v>28.653650883999873</v>
      </c>
      <c r="S452" s="343">
        <v>9.9893626039999557</v>
      </c>
      <c r="T452" s="270">
        <v>0.94</v>
      </c>
      <c r="U452" s="270">
        <v>7.0000000000000007E-2</v>
      </c>
      <c r="Y452" s="344">
        <v>1204.2483064511921</v>
      </c>
    </row>
    <row r="453" spans="2:25" ht="17.399999999999999" thickTop="1" thickBot="1">
      <c r="B453" s="103">
        <v>44.699999999999903</v>
      </c>
      <c r="P453" s="342">
        <v>422.49613049999817</v>
      </c>
      <c r="Q453" s="343">
        <v>82.385246879999642</v>
      </c>
      <c r="R453" s="343">
        <v>28.782286640999875</v>
      </c>
      <c r="S453" s="343">
        <v>10.034208170999957</v>
      </c>
      <c r="T453" s="270">
        <v>0.94</v>
      </c>
      <c r="U453" s="270">
        <v>7.0000000000000007E-2</v>
      </c>
      <c r="Y453" s="344">
        <v>1212.273413001592</v>
      </c>
    </row>
    <row r="454" spans="2:25" ht="17.399999999999999" thickTop="1" thickBot="1">
      <c r="B454" s="216">
        <v>44.799999999999898</v>
      </c>
      <c r="P454" s="342">
        <v>424.38860799999804</v>
      </c>
      <c r="Q454" s="343">
        <v>82.754273279999623</v>
      </c>
      <c r="R454" s="343">
        <v>28.911210495999867</v>
      </c>
      <c r="S454" s="343">
        <v>10.079154175999955</v>
      </c>
      <c r="T454" s="270">
        <v>0.94</v>
      </c>
      <c r="U454" s="270">
        <v>7.0000000000000007E-2</v>
      </c>
      <c r="Y454" s="344">
        <v>1220.3341937663913</v>
      </c>
    </row>
    <row r="455" spans="2:25" ht="17.399999999999999" thickTop="1" thickBot="1">
      <c r="B455" s="103">
        <v>44.899999999999899</v>
      </c>
      <c r="P455" s="342">
        <v>426.28531449999809</v>
      </c>
      <c r="Q455" s="343">
        <v>83.124124319999623</v>
      </c>
      <c r="R455" s="343">
        <v>29.04042244899987</v>
      </c>
      <c r="S455" s="343">
        <v>10.124200618999955</v>
      </c>
      <c r="T455" s="270">
        <v>0.95</v>
      </c>
      <c r="U455" s="270">
        <v>7.0000000000000007E-2</v>
      </c>
      <c r="Y455" s="344">
        <v>1228.4307280607918</v>
      </c>
    </row>
    <row r="456" spans="2:25" ht="17.399999999999999" thickTop="1" thickBot="1">
      <c r="B456" s="216">
        <v>44.999999999999901</v>
      </c>
      <c r="P456" s="342">
        <v>428.1862499999981</v>
      </c>
      <c r="Q456" s="343">
        <v>83.494799999999628</v>
      </c>
      <c r="R456" s="343">
        <v>29.169922499999871</v>
      </c>
      <c r="S456" s="343">
        <v>10.169347499999956</v>
      </c>
      <c r="T456" s="270">
        <v>0.95</v>
      </c>
      <c r="U456" s="270">
        <v>7.0000000000000007E-2</v>
      </c>
      <c r="Y456" s="344">
        <v>1236.5630951999917</v>
      </c>
    </row>
    <row r="457" spans="2:25" ht="17.399999999999999" thickTop="1" thickBot="1">
      <c r="B457" s="103">
        <v>45.099999999999902</v>
      </c>
      <c r="P457" s="342">
        <v>430.09141449999811</v>
      </c>
      <c r="Q457" s="343">
        <v>83.866300319999624</v>
      </c>
      <c r="R457" s="343">
        <v>29.299710648999874</v>
      </c>
      <c r="S457" s="343">
        <v>10.214594818999956</v>
      </c>
      <c r="T457" s="270">
        <v>0.96</v>
      </c>
      <c r="U457" s="270">
        <v>0.08</v>
      </c>
      <c r="Y457" s="344">
        <v>1244.7313744991918</v>
      </c>
    </row>
    <row r="458" spans="2:25" ht="17.399999999999999" thickTop="1" thickBot="1">
      <c r="B458" s="216">
        <v>45.199999999999903</v>
      </c>
      <c r="P458" s="342">
        <v>432.00080799999819</v>
      </c>
      <c r="Q458" s="343">
        <v>84.238625279999638</v>
      </c>
      <c r="R458" s="343">
        <v>29.429786895999875</v>
      </c>
      <c r="S458" s="343">
        <v>10.259942575999956</v>
      </c>
      <c r="T458" s="270">
        <v>0.96</v>
      </c>
      <c r="U458" s="270">
        <v>0.08</v>
      </c>
      <c r="Y458" s="344">
        <v>1252.9356452735917</v>
      </c>
    </row>
    <row r="459" spans="2:25" ht="17.399999999999999" thickTop="1" thickBot="1">
      <c r="B459" s="103">
        <v>45.299999999999898</v>
      </c>
      <c r="P459" s="342">
        <v>433.91443049999799</v>
      </c>
      <c r="Q459" s="343">
        <v>84.611774879999601</v>
      </c>
      <c r="R459" s="343">
        <v>29.560151240999865</v>
      </c>
      <c r="S459" s="343">
        <v>10.305390770999953</v>
      </c>
      <c r="T459" s="270">
        <v>0.97</v>
      </c>
      <c r="U459" s="270">
        <v>0.08</v>
      </c>
      <c r="Y459" s="344">
        <v>1261.1759868383911</v>
      </c>
    </row>
    <row r="460" spans="2:25" ht="17.399999999999999" thickTop="1" thickBot="1">
      <c r="B460" s="216">
        <v>45.399999999999899</v>
      </c>
      <c r="P460" s="342">
        <v>435.83228199999803</v>
      </c>
      <c r="Q460" s="343">
        <v>84.98574911999961</v>
      </c>
      <c r="R460" s="343">
        <v>29.690803683999867</v>
      </c>
      <c r="S460" s="343">
        <v>10.350939403999954</v>
      </c>
      <c r="T460" s="270">
        <v>0.97</v>
      </c>
      <c r="U460" s="270">
        <v>0.08</v>
      </c>
      <c r="Y460" s="344">
        <v>1269.4524785087915</v>
      </c>
    </row>
    <row r="461" spans="2:25" ht="17.399999999999999" thickTop="1" thickBot="1">
      <c r="B461" s="103">
        <v>45.499999999999901</v>
      </c>
      <c r="P461" s="342">
        <v>437.75436249999808</v>
      </c>
      <c r="Q461" s="343">
        <v>85.360547999999625</v>
      </c>
      <c r="R461" s="343">
        <v>29.821744224999868</v>
      </c>
      <c r="S461" s="343">
        <v>10.396588474999955</v>
      </c>
      <c r="T461" s="270">
        <v>0.97</v>
      </c>
      <c r="U461" s="270">
        <v>0.08</v>
      </c>
      <c r="Y461" s="344">
        <v>1277.7651995999915</v>
      </c>
    </row>
    <row r="462" spans="2:25" ht="17.399999999999999" thickTop="1" thickBot="1">
      <c r="B462" s="216">
        <v>45.599999999999902</v>
      </c>
      <c r="P462" s="342">
        <v>439.68067199999808</v>
      </c>
      <c r="Q462" s="343">
        <v>85.73617151999963</v>
      </c>
      <c r="R462" s="343">
        <v>29.952972863999872</v>
      </c>
      <c r="S462" s="343">
        <v>10.442337983999955</v>
      </c>
      <c r="T462" s="270">
        <v>0.98</v>
      </c>
      <c r="U462" s="270">
        <v>0.08</v>
      </c>
      <c r="Y462" s="344">
        <v>1286.1142294271915</v>
      </c>
    </row>
    <row r="463" spans="2:25" ht="17.399999999999999" thickTop="1" thickBot="1">
      <c r="B463" s="103">
        <v>45.699999999999903</v>
      </c>
      <c r="P463" s="342">
        <v>441.61121049999815</v>
      </c>
      <c r="Q463" s="343">
        <v>86.112619679999625</v>
      </c>
      <c r="R463" s="343">
        <v>30.084489600999873</v>
      </c>
      <c r="S463" s="343">
        <v>10.488187930999956</v>
      </c>
      <c r="T463" s="270">
        <v>0.98</v>
      </c>
      <c r="U463" s="270">
        <v>0.08</v>
      </c>
      <c r="Y463" s="344">
        <v>1294.4996473055915</v>
      </c>
    </row>
    <row r="464" spans="2:25" ht="17.399999999999999" thickTop="1" thickBot="1">
      <c r="B464" s="216">
        <v>45.799999999999898</v>
      </c>
      <c r="P464" s="342">
        <v>443.54597799999806</v>
      </c>
      <c r="Q464" s="343">
        <v>86.489892479999611</v>
      </c>
      <c r="R464" s="343">
        <v>30.216294435999867</v>
      </c>
      <c r="S464" s="343">
        <v>10.534138315999954</v>
      </c>
      <c r="T464" s="270">
        <v>0.99</v>
      </c>
      <c r="U464" s="270">
        <v>0.08</v>
      </c>
      <c r="Y464" s="344">
        <v>1302.9215325503908</v>
      </c>
    </row>
    <row r="465" spans="2:25" ht="17.399999999999999" thickTop="1" thickBot="1">
      <c r="B465" s="103">
        <v>45.899999999999899</v>
      </c>
      <c r="P465" s="342">
        <v>445.48497449999809</v>
      </c>
      <c r="Q465" s="343">
        <v>86.867989919999616</v>
      </c>
      <c r="R465" s="343">
        <v>30.34838736899987</v>
      </c>
      <c r="S465" s="343">
        <v>10.580189138999954</v>
      </c>
      <c r="T465" s="270">
        <v>0.99</v>
      </c>
      <c r="U465" s="270">
        <v>0.08</v>
      </c>
      <c r="Y465" s="344">
        <v>1311.3799644767914</v>
      </c>
    </row>
    <row r="466" spans="2:25" ht="17.399999999999999" thickTop="1" thickBot="1">
      <c r="B466" s="216">
        <v>45.999999999999901</v>
      </c>
      <c r="P466" s="342">
        <v>447.42819999999807</v>
      </c>
      <c r="Q466" s="343">
        <v>87.246911999999625</v>
      </c>
      <c r="R466" s="343">
        <v>30.480768399999867</v>
      </c>
      <c r="S466" s="343">
        <v>10.626340399999954</v>
      </c>
      <c r="T466" s="270">
        <v>1</v>
      </c>
      <c r="U466" s="270">
        <v>0.08</v>
      </c>
      <c r="Y466" s="344">
        <v>1319.8750223999916</v>
      </c>
    </row>
    <row r="467" spans="2:25" ht="17.399999999999999" thickTop="1" thickBot="1">
      <c r="B467" s="103">
        <v>46.099999999999902</v>
      </c>
      <c r="P467" s="342">
        <v>449.37565449999806</v>
      </c>
      <c r="Q467" s="343">
        <v>87.626658719999625</v>
      </c>
      <c r="R467" s="343">
        <v>30.613437528999871</v>
      </c>
      <c r="S467" s="343">
        <v>10.672592098999955</v>
      </c>
      <c r="T467" s="270">
        <v>1</v>
      </c>
      <c r="U467" s="270">
        <v>0.08</v>
      </c>
      <c r="Y467" s="344">
        <v>1328.4067856351915</v>
      </c>
    </row>
    <row r="468" spans="2:25" ht="17.399999999999999" thickTop="1" thickBot="1">
      <c r="B468" s="216">
        <v>46.199999999999903</v>
      </c>
      <c r="P468" s="342">
        <v>451.32733799999806</v>
      </c>
      <c r="Q468" s="343">
        <v>88.007230079999616</v>
      </c>
      <c r="R468" s="343">
        <v>30.746394755999869</v>
      </c>
      <c r="S468" s="343">
        <v>10.718944235999954</v>
      </c>
      <c r="T468" s="270">
        <v>1</v>
      </c>
      <c r="U468" s="270">
        <v>0.08</v>
      </c>
      <c r="Y468" s="344">
        <v>1336.9753334975915</v>
      </c>
    </row>
    <row r="469" spans="2:25" ht="17.399999999999999" thickTop="1" thickBot="1">
      <c r="B469" s="103">
        <v>46.299999999999798</v>
      </c>
      <c r="P469" s="342">
        <v>453.28325049999609</v>
      </c>
      <c r="Q469" s="343">
        <v>88.388626079999227</v>
      </c>
      <c r="R469" s="343">
        <v>30.879640080999732</v>
      </c>
      <c r="S469" s="343">
        <v>10.765396810999906</v>
      </c>
      <c r="T469" s="270">
        <v>1.01</v>
      </c>
      <c r="U469" s="270">
        <v>0.08</v>
      </c>
      <c r="Y469" s="344">
        <v>1345.5807453023824</v>
      </c>
    </row>
    <row r="470" spans="2:25" ht="17.399999999999999" thickTop="1" thickBot="1">
      <c r="B470" s="216">
        <v>46.399999999999899</v>
      </c>
      <c r="P470" s="342">
        <v>455.24339199999798</v>
      </c>
      <c r="Q470" s="343">
        <v>88.770846719999597</v>
      </c>
      <c r="R470" s="343">
        <v>31.013173503999862</v>
      </c>
      <c r="S470" s="343">
        <v>10.811949823999953</v>
      </c>
      <c r="T470" s="270">
        <v>1.01</v>
      </c>
      <c r="U470" s="270">
        <v>0.08</v>
      </c>
      <c r="Y470" s="344">
        <v>1354.2231003647912</v>
      </c>
    </row>
    <row r="471" spans="2:25" ht="17.399999999999999" thickTop="1" thickBot="1">
      <c r="B471" s="103">
        <v>46.499999999999901</v>
      </c>
      <c r="P471" s="342">
        <v>457.20776249999807</v>
      </c>
      <c r="Q471" s="343">
        <v>89.153891999999615</v>
      </c>
      <c r="R471" s="343">
        <v>31.146995024999867</v>
      </c>
      <c r="S471" s="343">
        <v>10.858603274999954</v>
      </c>
      <c r="T471" s="270">
        <v>1.02</v>
      </c>
      <c r="U471" s="270">
        <v>0.08</v>
      </c>
      <c r="Y471" s="344">
        <v>1362.9024779999913</v>
      </c>
    </row>
    <row r="472" spans="2:25" ht="17.399999999999999" thickTop="1" thickBot="1">
      <c r="B472" s="216">
        <v>46.599999999999902</v>
      </c>
      <c r="P472" s="342">
        <v>459.17636199999805</v>
      </c>
      <c r="Q472" s="343">
        <v>89.537761919999625</v>
      </c>
      <c r="R472" s="343">
        <v>31.281104643999868</v>
      </c>
      <c r="S472" s="343">
        <v>10.905357163999954</v>
      </c>
      <c r="T472" s="270">
        <v>1.02</v>
      </c>
      <c r="U472" s="270">
        <v>0.08</v>
      </c>
      <c r="Y472" s="344">
        <v>1371.6189575231913</v>
      </c>
    </row>
    <row r="473" spans="2:25" ht="17.399999999999999" thickTop="1" thickBot="1">
      <c r="B473" s="103">
        <v>46.699999999999903</v>
      </c>
      <c r="P473" s="342">
        <v>461.14919049999804</v>
      </c>
      <c r="Q473" s="343">
        <v>89.92245647999961</v>
      </c>
      <c r="R473" s="343">
        <v>31.415502360999866</v>
      </c>
      <c r="S473" s="343">
        <v>10.952211490999954</v>
      </c>
      <c r="T473" s="270">
        <v>1.03</v>
      </c>
      <c r="U473" s="270">
        <v>0.08</v>
      </c>
      <c r="Y473" s="344">
        <v>1380.3726182495911</v>
      </c>
    </row>
    <row r="474" spans="2:25" ht="17.399999999999999" thickTop="1" thickBot="1">
      <c r="B474" s="216">
        <v>46.799999999999798</v>
      </c>
      <c r="P474" s="342">
        <v>463.126247999996</v>
      </c>
      <c r="Q474" s="343">
        <v>90.307975679999217</v>
      </c>
      <c r="R474" s="343">
        <v>31.550188175999729</v>
      </c>
      <c r="S474" s="343">
        <v>10.999166255999906</v>
      </c>
      <c r="T474" s="270">
        <v>1.03</v>
      </c>
      <c r="U474" s="270">
        <v>0.08</v>
      </c>
      <c r="Y474" s="344">
        <v>1389.1635394943819</v>
      </c>
    </row>
    <row r="475" spans="2:25" ht="17.399999999999999" thickTop="1" thickBot="1">
      <c r="B475" s="103">
        <v>46.899999999999899</v>
      </c>
      <c r="P475" s="342">
        <v>465.107534499998</v>
      </c>
      <c r="Q475" s="343">
        <v>90.69431951999961</v>
      </c>
      <c r="R475" s="343">
        <v>31.685162088999864</v>
      </c>
      <c r="S475" s="343">
        <v>11.046221458999954</v>
      </c>
      <c r="T475" s="270">
        <v>1.03</v>
      </c>
      <c r="U475" s="270">
        <v>0.08</v>
      </c>
      <c r="Y475" s="344">
        <v>1397.9918005727911</v>
      </c>
    </row>
    <row r="476" spans="2:25" ht="17.399999999999999" thickTop="1" thickBot="1">
      <c r="B476" s="216">
        <v>46.999999999999901</v>
      </c>
      <c r="P476" s="342">
        <v>467.09304999999796</v>
      </c>
      <c r="Q476" s="343">
        <v>91.081487999999595</v>
      </c>
      <c r="R476" s="343">
        <v>31.820424099999862</v>
      </c>
      <c r="S476" s="343">
        <v>11.093377099999952</v>
      </c>
      <c r="T476" s="270">
        <v>1.04</v>
      </c>
      <c r="U476" s="270">
        <v>0.08</v>
      </c>
      <c r="Y476" s="344">
        <v>1406.857480799991</v>
      </c>
    </row>
    <row r="477" spans="2:25" ht="17.399999999999999" thickTop="1" thickBot="1">
      <c r="B477" s="103">
        <v>47.099999999999802</v>
      </c>
      <c r="P477" s="342">
        <v>469.082794499996</v>
      </c>
      <c r="Q477" s="343">
        <v>91.469481119999216</v>
      </c>
      <c r="R477" s="343">
        <v>31.955974208999731</v>
      </c>
      <c r="S477" s="343">
        <v>11.140633178999906</v>
      </c>
      <c r="T477" s="270">
        <v>1.04</v>
      </c>
      <c r="U477" s="270">
        <v>0.08</v>
      </c>
      <c r="Y477" s="344">
        <v>1415.7606594911824</v>
      </c>
    </row>
    <row r="478" spans="2:25" ht="17.399999999999999" thickTop="1" thickBot="1">
      <c r="B478" s="216">
        <v>47.199999999999797</v>
      </c>
      <c r="P478" s="342">
        <v>471.07676799999587</v>
      </c>
      <c r="Q478" s="343">
        <v>91.858298879999197</v>
      </c>
      <c r="R478" s="343">
        <v>32.091812415999719</v>
      </c>
      <c r="S478" s="343">
        <v>11.187989695999903</v>
      </c>
      <c r="T478" s="270">
        <v>1.05</v>
      </c>
      <c r="U478" s="270">
        <v>0.08</v>
      </c>
      <c r="Y478" s="344">
        <v>1424.7014159615815</v>
      </c>
    </row>
    <row r="479" spans="2:25" ht="17.399999999999999" thickTop="1" thickBot="1">
      <c r="B479" s="103">
        <v>47.299999999999798</v>
      </c>
      <c r="P479" s="342">
        <v>473.07497049999597</v>
      </c>
      <c r="Q479" s="343">
        <v>92.24794127999921</v>
      </c>
      <c r="R479" s="343">
        <v>32.227938720999724</v>
      </c>
      <c r="S479" s="343">
        <v>11.235446650999904</v>
      </c>
      <c r="T479" s="270">
        <v>1.05</v>
      </c>
      <c r="U479" s="270">
        <v>0.08</v>
      </c>
      <c r="Y479" s="344">
        <v>1433.6798295263816</v>
      </c>
    </row>
    <row r="480" spans="2:25" ht="17.399999999999999" thickTop="1" thickBot="1">
      <c r="B480" s="216">
        <v>47.399999999999899</v>
      </c>
      <c r="P480" s="342">
        <v>475.0774019999979</v>
      </c>
      <c r="Q480" s="343">
        <v>92.638408319999598</v>
      </c>
      <c r="R480" s="343">
        <v>32.364353123999862</v>
      </c>
      <c r="S480" s="343">
        <v>11.28300404399995</v>
      </c>
      <c r="T480" s="270">
        <v>1.06</v>
      </c>
      <c r="U480" s="270">
        <v>0.08</v>
      </c>
      <c r="Y480" s="344">
        <v>1442.6959795007908</v>
      </c>
    </row>
    <row r="481" spans="2:25" ht="17.399999999999999" thickTop="1" thickBot="1">
      <c r="B481" s="103">
        <v>47.499999999999901</v>
      </c>
      <c r="P481" s="342">
        <v>477.08406249999797</v>
      </c>
      <c r="Q481" s="343">
        <v>93.029699999999607</v>
      </c>
      <c r="R481" s="343">
        <v>32.501055624999864</v>
      </c>
      <c r="S481" s="343">
        <v>11.330661874999953</v>
      </c>
      <c r="T481" s="270">
        <v>1.06</v>
      </c>
      <c r="U481" s="270">
        <v>0.08</v>
      </c>
      <c r="Y481" s="344">
        <v>1451.7499451999911</v>
      </c>
    </row>
    <row r="482" spans="2:25" ht="17.399999999999999" thickTop="1" thickBot="1">
      <c r="B482" s="216">
        <v>47.599999999999802</v>
      </c>
      <c r="P482" s="342">
        <v>479.094951999996</v>
      </c>
      <c r="Q482" s="343">
        <v>93.421816319999223</v>
      </c>
      <c r="R482" s="343">
        <v>32.63804622399973</v>
      </c>
      <c r="S482" s="343">
        <v>11.378420143999906</v>
      </c>
      <c r="T482" s="270">
        <v>1.07</v>
      </c>
      <c r="U482" s="270">
        <v>0.08</v>
      </c>
      <c r="Y482" s="344">
        <v>1460.8418059391818</v>
      </c>
    </row>
    <row r="483" spans="2:25" ht="17.399999999999999" thickTop="1" thickBot="1">
      <c r="B483" s="103">
        <v>47.699999999999797</v>
      </c>
      <c r="P483" s="342">
        <v>481.11007049999586</v>
      </c>
      <c r="Q483" s="343">
        <v>93.814757279999185</v>
      </c>
      <c r="R483" s="343">
        <v>32.775324920999715</v>
      </c>
      <c r="S483" s="343">
        <v>11.426278850999902</v>
      </c>
      <c r="T483" s="270">
        <v>1.07</v>
      </c>
      <c r="U483" s="270">
        <v>0.08</v>
      </c>
      <c r="Y483" s="344">
        <v>1469.9716410335811</v>
      </c>
    </row>
    <row r="484" spans="2:25" ht="17.399999999999999" thickTop="1" thickBot="1">
      <c r="B484" s="216">
        <v>47.799999999999798</v>
      </c>
      <c r="P484" s="342">
        <v>483.12941799999589</v>
      </c>
      <c r="Q484" s="343">
        <v>94.208522879999194</v>
      </c>
      <c r="R484" s="343">
        <v>32.91289171599972</v>
      </c>
      <c r="S484" s="343">
        <v>11.474237995999903</v>
      </c>
      <c r="T484" s="270">
        <v>1.07</v>
      </c>
      <c r="U484" s="270">
        <v>0.08</v>
      </c>
      <c r="Y484" s="344">
        <v>1479.1395297983809</v>
      </c>
    </row>
    <row r="485" spans="2:25" ht="17.399999999999999" thickTop="1" thickBot="1">
      <c r="B485" s="103">
        <v>47.8999999999998</v>
      </c>
      <c r="P485" s="342">
        <v>485.15299449999594</v>
      </c>
      <c r="Q485" s="343">
        <v>94.603113119999207</v>
      </c>
      <c r="R485" s="343">
        <v>33.050746608999724</v>
      </c>
      <c r="S485" s="343">
        <v>11.522297578999904</v>
      </c>
      <c r="T485" s="270">
        <v>1.08</v>
      </c>
      <c r="U485" s="270">
        <v>0.08</v>
      </c>
      <c r="Y485" s="344">
        <v>1488.3455515487817</v>
      </c>
    </row>
    <row r="486" spans="2:25" ht="17.399999999999999" thickTop="1" thickBot="1">
      <c r="B486" s="216">
        <v>47.999999999999801</v>
      </c>
      <c r="P486" s="342">
        <v>487.18079999999594</v>
      </c>
      <c r="Q486" s="343">
        <v>94.998527999999212</v>
      </c>
      <c r="R486" s="343">
        <v>33.188889599999726</v>
      </c>
      <c r="S486" s="343">
        <v>11.570457599999905</v>
      </c>
      <c r="T486" s="270">
        <v>1.08</v>
      </c>
      <c r="U486" s="270">
        <v>0.09</v>
      </c>
      <c r="Y486" s="344">
        <v>1497.5897855999817</v>
      </c>
    </row>
    <row r="487" spans="2:25" ht="17.399999999999999" thickTop="1" thickBot="1">
      <c r="B487" s="103">
        <v>48.099999999999802</v>
      </c>
      <c r="P487" s="342">
        <v>489.21283449999601</v>
      </c>
      <c r="Q487" s="343">
        <v>95.394767519999206</v>
      </c>
      <c r="R487" s="343">
        <v>33.327320688999727</v>
      </c>
      <c r="S487" s="343">
        <v>11.618718058999905</v>
      </c>
      <c r="T487" s="270">
        <v>1.0900000000000001</v>
      </c>
      <c r="U487" s="270">
        <v>0.09</v>
      </c>
      <c r="Y487" s="344">
        <v>1506.8723112671817</v>
      </c>
    </row>
    <row r="488" spans="2:25" ht="17.399999999999999" thickTop="1" thickBot="1">
      <c r="B488" s="216">
        <v>48.199999999999797</v>
      </c>
      <c r="P488" s="342">
        <v>491.2490979999958</v>
      </c>
      <c r="Q488" s="343">
        <v>95.791831679999177</v>
      </c>
      <c r="R488" s="343">
        <v>33.466039875999712</v>
      </c>
      <c r="S488" s="343">
        <v>11.667078955999902</v>
      </c>
      <c r="T488" s="270">
        <v>1.0900000000000001</v>
      </c>
      <c r="U488" s="270">
        <v>0.09</v>
      </c>
      <c r="Y488" s="344">
        <v>1516.1932078655807</v>
      </c>
    </row>
    <row r="489" spans="2:25" ht="17.399999999999999" thickTop="1" thickBot="1">
      <c r="B489" s="103">
        <v>48.299999999999798</v>
      </c>
      <c r="P489" s="342">
        <v>493.28959049999582</v>
      </c>
      <c r="Q489" s="343">
        <v>96.189720479999181</v>
      </c>
      <c r="R489" s="343">
        <v>33.605047160999717</v>
      </c>
      <c r="S489" s="343">
        <v>11.715540290999902</v>
      </c>
      <c r="T489" s="270">
        <v>1.1000000000000001</v>
      </c>
      <c r="U489" s="270">
        <v>0.09</v>
      </c>
      <c r="Y489" s="344">
        <v>1525.5525547103807</v>
      </c>
    </row>
    <row r="490" spans="2:25" ht="17.399999999999999" thickTop="1" thickBot="1">
      <c r="B490" s="216">
        <v>48.3999999999998</v>
      </c>
      <c r="P490" s="342">
        <v>495.33431199999586</v>
      </c>
      <c r="Q490" s="343">
        <v>96.58843391999919</v>
      </c>
      <c r="R490" s="343">
        <v>33.744342543999714</v>
      </c>
      <c r="S490" s="343">
        <v>11.764102063999902</v>
      </c>
      <c r="T490" s="270">
        <v>1.1000000000000001</v>
      </c>
      <c r="U490" s="270">
        <v>0.09</v>
      </c>
      <c r="Y490" s="344">
        <v>1534.9504311167811</v>
      </c>
    </row>
    <row r="491" spans="2:25" ht="17.399999999999999" thickTop="1" thickBot="1">
      <c r="B491" s="103">
        <v>48.499999999999801</v>
      </c>
      <c r="P491" s="342">
        <v>497.38326249999596</v>
      </c>
      <c r="Q491" s="343">
        <v>96.987971999999203</v>
      </c>
      <c r="R491" s="343">
        <v>33.883926024999724</v>
      </c>
      <c r="S491" s="343">
        <v>11.812764274999905</v>
      </c>
      <c r="T491" s="270">
        <v>1.1100000000000001</v>
      </c>
      <c r="U491" s="270">
        <v>0.09</v>
      </c>
      <c r="Y491" s="344">
        <v>1544.3869163999811</v>
      </c>
    </row>
    <row r="492" spans="2:25" ht="17.399999999999999" thickTop="1" thickBot="1">
      <c r="B492" s="216">
        <v>48.599999999999802</v>
      </c>
      <c r="P492" s="342">
        <v>499.43644199999596</v>
      </c>
      <c r="Q492" s="343">
        <v>97.388334719999207</v>
      </c>
      <c r="R492" s="343">
        <v>34.023797603999725</v>
      </c>
      <c r="S492" s="343">
        <v>11.861526923999905</v>
      </c>
      <c r="T492" s="270">
        <v>1.1100000000000001</v>
      </c>
      <c r="U492" s="270">
        <v>0.09</v>
      </c>
      <c r="Y492" s="344">
        <v>1553.862089875181</v>
      </c>
    </row>
    <row r="493" spans="2:25" ht="17.399999999999999" thickTop="1" thickBot="1">
      <c r="B493" s="103">
        <v>48.699999999999797</v>
      </c>
      <c r="P493" s="342">
        <v>501.4938504999958</v>
      </c>
      <c r="Q493" s="343">
        <v>97.789522079999173</v>
      </c>
      <c r="R493" s="343">
        <v>34.163957280999711</v>
      </c>
      <c r="S493" s="343">
        <v>11.910390010999901</v>
      </c>
      <c r="T493" s="270">
        <v>1.1200000000000001</v>
      </c>
      <c r="U493" s="270">
        <v>0.09</v>
      </c>
      <c r="Y493" s="344">
        <v>1563.3760308575802</v>
      </c>
    </row>
    <row r="494" spans="2:25" ht="17.399999999999999" thickTop="1" thickBot="1">
      <c r="B494" s="216">
        <v>48.799999999999798</v>
      </c>
      <c r="P494" s="342">
        <v>503.55548799999588</v>
      </c>
      <c r="Q494" s="343">
        <v>98.191534079999187</v>
      </c>
      <c r="R494" s="343">
        <v>34.304405055999716</v>
      </c>
      <c r="S494" s="343">
        <v>11.959353535999902</v>
      </c>
      <c r="T494" s="270">
        <v>1.1200000000000001</v>
      </c>
      <c r="U494" s="270">
        <v>0.09</v>
      </c>
      <c r="Y494" s="344">
        <v>1572.9288186623801</v>
      </c>
    </row>
    <row r="495" spans="2:25" ht="17.399999999999999" thickTop="1" thickBot="1">
      <c r="B495" s="103">
        <v>48.8999999999998</v>
      </c>
      <c r="P495" s="342">
        <v>505.62135449999585</v>
      </c>
      <c r="Q495" s="343">
        <v>98.594370719999191</v>
      </c>
      <c r="R495" s="343">
        <v>34.44514092899972</v>
      </c>
      <c r="S495" s="343">
        <v>12.008417498999902</v>
      </c>
      <c r="T495" s="270">
        <v>1.1200000000000001</v>
      </c>
      <c r="U495" s="270">
        <v>0.09</v>
      </c>
      <c r="Y495" s="344">
        <v>1582.5205326047808</v>
      </c>
    </row>
    <row r="496" spans="2:25" ht="17.399999999999999" thickTop="1" thickBot="1">
      <c r="B496" s="216">
        <v>48.999999999999801</v>
      </c>
      <c r="P496" s="342">
        <v>507.69144999999588</v>
      </c>
      <c r="Q496" s="343">
        <v>98.998031999999185</v>
      </c>
      <c r="R496" s="343">
        <v>34.586164899999716</v>
      </c>
      <c r="S496" s="343">
        <v>12.057581899999903</v>
      </c>
      <c r="T496" s="270">
        <v>1.1299999999999999</v>
      </c>
      <c r="U496" s="270">
        <v>0.09</v>
      </c>
      <c r="Y496" s="344">
        <v>1592.1512519999808</v>
      </c>
    </row>
    <row r="497" spans="2:25" ht="17.399999999999999" thickTop="1" thickBot="1">
      <c r="B497" s="103">
        <v>49.099999999999802</v>
      </c>
      <c r="P497" s="342">
        <v>509.76577449999587</v>
      </c>
      <c r="Q497" s="343">
        <v>99.402517919999184</v>
      </c>
      <c r="R497" s="343">
        <v>34.727476968999717</v>
      </c>
      <c r="S497" s="343">
        <v>12.106846738999902</v>
      </c>
      <c r="T497" s="270">
        <v>1.1299999999999999</v>
      </c>
      <c r="U497" s="270">
        <v>0.09</v>
      </c>
      <c r="Y497" s="344">
        <v>1601.8210561631809</v>
      </c>
    </row>
    <row r="498" spans="2:25" ht="17.399999999999999" thickTop="1" thickBot="1">
      <c r="B498" s="216">
        <v>49.199999999999797</v>
      </c>
      <c r="P498" s="342">
        <v>511.84432799999576</v>
      </c>
      <c r="Q498" s="343">
        <v>99.807828479999159</v>
      </c>
      <c r="R498" s="343">
        <v>34.86907713599971</v>
      </c>
      <c r="S498" s="343">
        <v>12.1562120159999</v>
      </c>
      <c r="T498" s="270">
        <v>1.1399999999999999</v>
      </c>
      <c r="U498" s="270">
        <v>0.09</v>
      </c>
      <c r="Y498" s="344">
        <v>1611.5300244095799</v>
      </c>
    </row>
    <row r="499" spans="2:25" ht="17.399999999999999" thickTop="1" thickBot="1">
      <c r="B499" s="103">
        <v>49.299999999999798</v>
      </c>
      <c r="P499" s="342">
        <v>513.92711049999582</v>
      </c>
      <c r="Q499" s="343">
        <v>100.21396367999918</v>
      </c>
      <c r="R499" s="343">
        <v>35.010965400999716</v>
      </c>
      <c r="S499" s="343">
        <v>12.2056777309999</v>
      </c>
      <c r="T499" s="270">
        <v>1.1399999999999999</v>
      </c>
      <c r="U499" s="270">
        <v>0.09</v>
      </c>
      <c r="Y499" s="344">
        <v>1621.2782360543799</v>
      </c>
    </row>
    <row r="500" spans="2:25" ht="17.399999999999999" thickTop="1" thickBot="1">
      <c r="B500" s="216">
        <v>49.3999999999998</v>
      </c>
      <c r="P500" s="342">
        <v>516.01412199999584</v>
      </c>
      <c r="Q500" s="343">
        <v>100.62092351999918</v>
      </c>
      <c r="R500" s="343">
        <v>35.153141763999713</v>
      </c>
      <c r="S500" s="343">
        <v>12.255243883999901</v>
      </c>
      <c r="T500" s="270">
        <v>1.1499999999999999</v>
      </c>
      <c r="U500" s="270">
        <v>0.09</v>
      </c>
      <c r="Y500" s="344">
        <v>1631.0657704127805</v>
      </c>
    </row>
    <row r="501" spans="2:25" ht="17.399999999999999" thickTop="1" thickBot="1">
      <c r="B501" s="103">
        <v>49.499999999999801</v>
      </c>
      <c r="P501" s="342">
        <v>518.10536249999586</v>
      </c>
      <c r="Q501" s="343">
        <v>101.02870799999918</v>
      </c>
      <c r="R501" s="343">
        <v>35.295606224999716</v>
      </c>
      <c r="S501" s="343">
        <v>12.304910474999902</v>
      </c>
      <c r="T501" s="270">
        <v>1.1499999999999999</v>
      </c>
      <c r="U501" s="270">
        <v>0.09</v>
      </c>
      <c r="Y501" s="344">
        <v>1640.8927067999805</v>
      </c>
    </row>
    <row r="502" spans="2:25" ht="17.399999999999999" thickTop="1" thickBot="1">
      <c r="B502" s="216">
        <v>49.599999999999802</v>
      </c>
      <c r="P502" s="342">
        <v>520.20083199999578</v>
      </c>
      <c r="Q502" s="343">
        <v>101.43731711999918</v>
      </c>
      <c r="R502" s="343">
        <v>35.438358783999718</v>
      </c>
      <c r="S502" s="343">
        <v>12.354677503999902</v>
      </c>
      <c r="T502" s="270">
        <v>1.1599999999999999</v>
      </c>
      <c r="U502" s="270">
        <v>0.09</v>
      </c>
      <c r="Y502" s="344">
        <v>1650.7591245311803</v>
      </c>
    </row>
    <row r="503" spans="2:25" ht="17.399999999999999" thickTop="1" thickBot="1">
      <c r="B503" s="103">
        <v>49.699999999999797</v>
      </c>
      <c r="P503" s="342">
        <v>522.30053049999572</v>
      </c>
      <c r="Q503" s="343">
        <v>101.84675087999916</v>
      </c>
      <c r="R503" s="343">
        <v>35.581399440999711</v>
      </c>
      <c r="S503" s="343">
        <v>12.404544970999899</v>
      </c>
      <c r="T503" s="270">
        <v>1.1599999999999999</v>
      </c>
      <c r="U503" s="270">
        <v>0.09</v>
      </c>
      <c r="Y503" s="344">
        <v>1660.6651029215795</v>
      </c>
    </row>
    <row r="504" spans="2:25" ht="17.399999999999999" thickTop="1" thickBot="1">
      <c r="B504" s="216">
        <v>49.799999999999798</v>
      </c>
      <c r="P504" s="342">
        <v>524.40445799999577</v>
      </c>
      <c r="Q504" s="343">
        <v>102.25700927999917</v>
      </c>
      <c r="R504" s="343">
        <v>35.72472819599971</v>
      </c>
      <c r="S504" s="343">
        <v>12.4545128759999</v>
      </c>
      <c r="T504" s="270">
        <v>1.17</v>
      </c>
      <c r="U504" s="270">
        <v>0.09</v>
      </c>
      <c r="Y504" s="344">
        <v>1670.6107212863797</v>
      </c>
    </row>
    <row r="505" spans="2:25" ht="17.399999999999999" thickTop="1" thickBot="1">
      <c r="B505" s="103">
        <v>49.8999999999998</v>
      </c>
      <c r="P505" s="342">
        <v>526.51261449999583</v>
      </c>
      <c r="Q505" s="343">
        <v>102.66809231999918</v>
      </c>
      <c r="R505" s="343">
        <v>35.868345048999714</v>
      </c>
      <c r="S505" s="343">
        <v>12.504581218999901</v>
      </c>
      <c r="T505" s="270">
        <v>1.17</v>
      </c>
      <c r="U505" s="270">
        <v>0.09</v>
      </c>
      <c r="Y505" s="344">
        <v>1680.5960589407803</v>
      </c>
    </row>
    <row r="506" spans="2:25" ht="17.399999999999999" thickTop="1" thickBot="1">
      <c r="B506" s="216">
        <v>49.999999999999801</v>
      </c>
      <c r="P506" s="342">
        <v>528.62499999999579</v>
      </c>
      <c r="Q506" s="343">
        <v>103.07999999999917</v>
      </c>
      <c r="R506" s="343">
        <v>36.01224999999971</v>
      </c>
      <c r="S506" s="343">
        <v>12.554749999999899</v>
      </c>
      <c r="T506" s="270">
        <v>1.18</v>
      </c>
      <c r="U506" s="270">
        <v>0.09</v>
      </c>
      <c r="Y506" s="344">
        <v>1690.6211951999799</v>
      </c>
    </row>
    <row r="507" spans="2:25" ht="17.399999999999999" thickTop="1" thickBot="1">
      <c r="B507" s="103">
        <v>50.099999999999802</v>
      </c>
      <c r="R507" s="343">
        <v>36.156443048999712</v>
      </c>
      <c r="S507" s="343">
        <v>12.605019218999901</v>
      </c>
      <c r="T507" s="270">
        <v>1.18</v>
      </c>
      <c r="U507" s="270">
        <v>0.09</v>
      </c>
    </row>
    <row r="508" spans="2:25" ht="17.399999999999999" thickTop="1" thickBot="1">
      <c r="B508" s="216">
        <v>50.199999999999797</v>
      </c>
      <c r="R508" s="343">
        <v>36.300924195999706</v>
      </c>
      <c r="S508" s="343">
        <v>12.655388875999897</v>
      </c>
      <c r="T508" s="270">
        <v>1.19</v>
      </c>
      <c r="U508" s="270">
        <v>0.09</v>
      </c>
    </row>
    <row r="509" spans="2:25" ht="17.399999999999999" thickTop="1" thickBot="1">
      <c r="B509" s="103">
        <v>50.299999999999798</v>
      </c>
      <c r="R509" s="343">
        <v>36.445693440999705</v>
      </c>
      <c r="S509" s="343">
        <v>12.705858970999898</v>
      </c>
      <c r="T509" s="270">
        <v>1.19</v>
      </c>
      <c r="U509" s="270">
        <v>0.09</v>
      </c>
    </row>
    <row r="510" spans="2:25" ht="17.399999999999999" thickTop="1" thickBot="1">
      <c r="B510" s="216">
        <v>50.3999999999998</v>
      </c>
      <c r="R510" s="343">
        <v>36.590750783999709</v>
      </c>
      <c r="S510" s="343">
        <v>12.756429503999899</v>
      </c>
      <c r="T510" s="270">
        <v>1.2</v>
      </c>
      <c r="U510" s="270">
        <v>0.09</v>
      </c>
    </row>
    <row r="511" spans="2:25" ht="17.399999999999999" thickTop="1" thickBot="1">
      <c r="B511" s="103">
        <v>50.499999999999801</v>
      </c>
      <c r="R511" s="343">
        <v>36.736096224999713</v>
      </c>
      <c r="S511" s="343">
        <v>12.807100474999899</v>
      </c>
      <c r="T511" s="270">
        <v>1.2</v>
      </c>
      <c r="U511" s="270">
        <v>0.09</v>
      </c>
    </row>
    <row r="512" spans="2:25" ht="17.399999999999999" thickTop="1" thickBot="1">
      <c r="B512" s="216">
        <v>50.599999999999802</v>
      </c>
      <c r="R512" s="343">
        <v>36.881729763999715</v>
      </c>
      <c r="S512" s="343">
        <v>12.8578718839999</v>
      </c>
      <c r="T512" s="270">
        <v>1.2</v>
      </c>
      <c r="U512" s="270">
        <v>0.09</v>
      </c>
    </row>
    <row r="513" spans="2:21" ht="17.399999999999999" thickTop="1" thickBot="1">
      <c r="B513" s="103">
        <v>50.699999999999797</v>
      </c>
      <c r="R513" s="343">
        <v>37.027651400999702</v>
      </c>
      <c r="S513" s="343">
        <v>12.908743730999896</v>
      </c>
      <c r="T513" s="270">
        <v>1.21</v>
      </c>
      <c r="U513" s="270">
        <v>0.1</v>
      </c>
    </row>
    <row r="514" spans="2:21" ht="17.399999999999999" thickTop="1" thickBot="1">
      <c r="B514" s="216">
        <v>50.799999999999798</v>
      </c>
      <c r="R514" s="343">
        <v>37.173861135999701</v>
      </c>
      <c r="S514" s="343">
        <v>12.959716015999897</v>
      </c>
      <c r="T514" s="270">
        <v>1.21</v>
      </c>
      <c r="U514" s="270">
        <v>0.1</v>
      </c>
    </row>
    <row r="515" spans="2:21" ht="17.399999999999999" thickTop="1" thickBot="1">
      <c r="B515" s="103">
        <v>50.8999999999998</v>
      </c>
      <c r="R515" s="343">
        <v>37.320358968999706</v>
      </c>
      <c r="S515" s="343">
        <v>13.010788738999898</v>
      </c>
      <c r="T515" s="270">
        <v>1.22</v>
      </c>
      <c r="U515" s="270">
        <v>0.1</v>
      </c>
    </row>
    <row r="516" spans="2:21" ht="17.399999999999999" thickTop="1" thickBot="1">
      <c r="B516" s="216">
        <v>50.999999999999801</v>
      </c>
      <c r="R516" s="343">
        <v>37.467144899999703</v>
      </c>
      <c r="S516" s="343">
        <v>13.061961899999897</v>
      </c>
      <c r="T516" s="270">
        <v>1.22</v>
      </c>
      <c r="U516" s="270">
        <v>0.1</v>
      </c>
    </row>
    <row r="517" spans="2:21" ht="17.399999999999999" thickTop="1" thickBot="1">
      <c r="B517" s="103">
        <v>51.099999999999802</v>
      </c>
      <c r="R517" s="343">
        <v>37.614218928999712</v>
      </c>
      <c r="S517" s="343">
        <v>13.1132354989999</v>
      </c>
      <c r="T517" s="270">
        <v>1.23</v>
      </c>
      <c r="U517" s="270">
        <v>0.1</v>
      </c>
    </row>
    <row r="518" spans="2:21" ht="17.399999999999999" thickTop="1" thickBot="1">
      <c r="B518" s="216">
        <v>51.199999999999797</v>
      </c>
      <c r="R518" s="343">
        <v>37.761581055999699</v>
      </c>
      <c r="S518" s="343">
        <v>13.164609535999896</v>
      </c>
      <c r="T518" s="270">
        <v>1.23</v>
      </c>
      <c r="U518" s="270">
        <v>0.1</v>
      </c>
    </row>
    <row r="519" spans="2:21" ht="17.399999999999999" thickTop="1" thickBot="1">
      <c r="B519" s="103">
        <v>51.299999999999798</v>
      </c>
      <c r="R519" s="343">
        <v>37.909231280999698</v>
      </c>
      <c r="S519" s="343">
        <v>13.216084010999896</v>
      </c>
      <c r="T519" s="270">
        <v>1.24</v>
      </c>
      <c r="U519" s="270">
        <v>0.1</v>
      </c>
    </row>
    <row r="520" spans="2:21" ht="17.399999999999999" thickTop="1" thickBot="1">
      <c r="B520" s="216">
        <v>51.3999999999998</v>
      </c>
      <c r="R520" s="343">
        <v>38.057169603999704</v>
      </c>
      <c r="S520" s="343">
        <v>13.267658923999898</v>
      </c>
      <c r="T520" s="270">
        <v>1.24</v>
      </c>
      <c r="U520" s="270">
        <v>0.1</v>
      </c>
    </row>
    <row r="521" spans="2:21" ht="17.399999999999999" thickTop="1" thickBot="1">
      <c r="B521" s="103">
        <v>51.499999999999801</v>
      </c>
      <c r="R521" s="343">
        <v>38.205396024999708</v>
      </c>
      <c r="S521" s="343">
        <v>13.319334274999898</v>
      </c>
      <c r="T521" s="270">
        <v>1.25</v>
      </c>
      <c r="U521" s="270">
        <v>0.1</v>
      </c>
    </row>
    <row r="522" spans="2:21" ht="17.399999999999999" thickTop="1" thickBot="1">
      <c r="B522" s="216">
        <v>51.599999999999802</v>
      </c>
      <c r="R522" s="343">
        <v>38.353910543999703</v>
      </c>
      <c r="S522" s="343">
        <v>13.371110063999897</v>
      </c>
      <c r="T522" s="270">
        <v>1.25</v>
      </c>
      <c r="U522" s="270">
        <v>0.1</v>
      </c>
    </row>
    <row r="523" spans="2:21" ht="17.399999999999999" thickTop="1" thickBot="1">
      <c r="B523" s="103">
        <v>51.699999999999797</v>
      </c>
      <c r="R523" s="343">
        <v>38.502713160999697</v>
      </c>
      <c r="S523" s="343">
        <v>13.422986290999894</v>
      </c>
      <c r="T523" s="270">
        <v>1.26</v>
      </c>
      <c r="U523" s="270">
        <v>0.1</v>
      </c>
    </row>
    <row r="524" spans="2:21" ht="17.399999999999999" thickTop="1" thickBot="1">
      <c r="B524" s="216">
        <v>51.799999999999798</v>
      </c>
      <c r="R524" s="343">
        <v>38.651803875999704</v>
      </c>
      <c r="S524" s="343">
        <v>13.474962955999896</v>
      </c>
      <c r="T524" s="270">
        <v>1.26</v>
      </c>
      <c r="U524" s="270">
        <v>0.1</v>
      </c>
    </row>
    <row r="525" spans="2:21" ht="17.399999999999999" thickTop="1" thickBot="1">
      <c r="B525" s="103">
        <v>51.8999999999998</v>
      </c>
      <c r="R525" s="343">
        <v>38.801182688999702</v>
      </c>
      <c r="S525" s="343">
        <v>13.527040058999896</v>
      </c>
      <c r="T525" s="270">
        <v>1.27</v>
      </c>
      <c r="U525" s="270">
        <v>0.1</v>
      </c>
    </row>
    <row r="526" spans="2:21" ht="17.399999999999999" thickTop="1" thickBot="1">
      <c r="B526" s="216">
        <v>51.999999999999801</v>
      </c>
      <c r="R526" s="343">
        <v>38.9508495999997</v>
      </c>
      <c r="S526" s="343">
        <v>13.579217599999895</v>
      </c>
      <c r="T526" s="270">
        <v>1.27</v>
      </c>
      <c r="U526" s="270">
        <v>0.1</v>
      </c>
    </row>
    <row r="527" spans="2:21" ht="17.399999999999999" thickTop="1" thickBot="1">
      <c r="B527" s="103">
        <v>52.099999999999802</v>
      </c>
      <c r="R527" s="343">
        <v>39.100804608999702</v>
      </c>
      <c r="S527" s="343">
        <v>13.631495578999896</v>
      </c>
      <c r="T527" s="270">
        <v>1.28</v>
      </c>
      <c r="U527" s="270">
        <v>0.1</v>
      </c>
    </row>
    <row r="528" spans="2:21" ht="17.399999999999999" thickTop="1" thickBot="1">
      <c r="B528" s="216">
        <v>52.199999999999797</v>
      </c>
      <c r="R528" s="343">
        <v>39.251047715999697</v>
      </c>
      <c r="S528" s="343">
        <v>13.683873995999894</v>
      </c>
      <c r="T528" s="270">
        <v>1.28</v>
      </c>
      <c r="U528" s="270">
        <v>0.1</v>
      </c>
    </row>
    <row r="529" spans="2:21" ht="17.399999999999999" thickTop="1" thickBot="1">
      <c r="B529" s="103">
        <v>52.299999999999798</v>
      </c>
      <c r="R529" s="343">
        <v>39.401578920999697</v>
      </c>
      <c r="S529" s="343">
        <v>13.736352850999895</v>
      </c>
      <c r="T529" s="270">
        <v>1.29</v>
      </c>
      <c r="U529" s="270">
        <v>0.1</v>
      </c>
    </row>
    <row r="530" spans="2:21" ht="17.399999999999999" thickTop="1" thickBot="1">
      <c r="B530" s="216">
        <v>52.3999999999998</v>
      </c>
      <c r="R530" s="343">
        <v>39.552398223999695</v>
      </c>
      <c r="S530" s="343">
        <v>13.788932143999894</v>
      </c>
      <c r="T530" s="270">
        <v>1.29</v>
      </c>
      <c r="U530" s="270">
        <v>0.1</v>
      </c>
    </row>
    <row r="531" spans="2:21" ht="17.399999999999999" thickTop="1" thickBot="1">
      <c r="B531" s="103">
        <v>52.499999999999801</v>
      </c>
      <c r="R531" s="343">
        <v>39.7035056249997</v>
      </c>
      <c r="S531" s="343">
        <v>13.841611874999895</v>
      </c>
      <c r="T531" s="270">
        <v>1.3</v>
      </c>
      <c r="U531" s="270">
        <v>0.1</v>
      </c>
    </row>
    <row r="532" spans="2:21" ht="17.399999999999999" thickTop="1" thickBot="1">
      <c r="B532" s="216">
        <v>52.599999999999802</v>
      </c>
      <c r="R532" s="343">
        <v>39.854901123999703</v>
      </c>
      <c r="S532" s="343">
        <v>13.894392043999897</v>
      </c>
      <c r="T532" s="270">
        <v>1.3</v>
      </c>
      <c r="U532" s="270">
        <v>0.1</v>
      </c>
    </row>
    <row r="533" spans="2:21" ht="17.399999999999999" thickTop="1" thickBot="1">
      <c r="B533" s="103">
        <v>52.699999999999797</v>
      </c>
      <c r="R533" s="343">
        <v>40.00658472099969</v>
      </c>
      <c r="S533" s="343">
        <v>13.947272650999892</v>
      </c>
      <c r="T533" s="270">
        <v>1.31</v>
      </c>
      <c r="U533" s="270">
        <v>0.1</v>
      </c>
    </row>
    <row r="534" spans="2:21" ht="17.399999999999999" thickTop="1" thickBot="1">
      <c r="B534" s="216">
        <v>52.799999999999798</v>
      </c>
      <c r="R534" s="343">
        <v>40.158556415999698</v>
      </c>
      <c r="S534" s="343">
        <v>14.000253695999893</v>
      </c>
      <c r="T534" s="270">
        <v>1.31</v>
      </c>
      <c r="U534" s="270">
        <v>0.1</v>
      </c>
    </row>
    <row r="535" spans="2:21" ht="17.399999999999999" thickTop="1" thickBot="1">
      <c r="B535" s="103">
        <v>52.8999999999998</v>
      </c>
      <c r="R535" s="343">
        <v>40.310816208999697</v>
      </c>
      <c r="S535" s="343">
        <v>14.053335178999895</v>
      </c>
      <c r="T535" s="270">
        <v>1.32</v>
      </c>
      <c r="U535" s="270">
        <v>0.1</v>
      </c>
    </row>
    <row r="536" spans="2:21" ht="17.399999999999999" thickTop="1" thickBot="1">
      <c r="B536" s="216">
        <v>52.999999999999801</v>
      </c>
      <c r="R536" s="343">
        <v>40.463364099999701</v>
      </c>
      <c r="S536" s="343">
        <v>14.106517099999895</v>
      </c>
      <c r="T536" s="270">
        <v>1.32</v>
      </c>
      <c r="U536" s="270">
        <v>0.1</v>
      </c>
    </row>
    <row r="537" spans="2:21" ht="17.399999999999999" thickTop="1" thickBot="1">
      <c r="B537" s="103">
        <v>53.099999999999802</v>
      </c>
      <c r="R537" s="343">
        <v>40.616200088999697</v>
      </c>
      <c r="S537" s="343">
        <v>14.159799458999895</v>
      </c>
      <c r="T537" s="270">
        <v>1.33</v>
      </c>
      <c r="U537" s="270">
        <v>0.1</v>
      </c>
    </row>
    <row r="538" spans="2:21" ht="17.399999999999999" thickTop="1" thickBot="1">
      <c r="B538" s="216">
        <v>53.199999999999797</v>
      </c>
      <c r="R538" s="343">
        <v>40.769324175999692</v>
      </c>
      <c r="S538" s="343">
        <v>14.213182255999891</v>
      </c>
      <c r="T538" s="270">
        <v>1.33</v>
      </c>
      <c r="U538" s="270">
        <v>0.1</v>
      </c>
    </row>
    <row r="539" spans="2:21" ht="17.399999999999999" thickTop="1" thickBot="1">
      <c r="B539" s="103">
        <v>53.299999999999798</v>
      </c>
      <c r="R539" s="343">
        <v>40.922736360999693</v>
      </c>
      <c r="S539" s="343">
        <v>14.266665490999893</v>
      </c>
      <c r="T539" s="270">
        <v>1.34</v>
      </c>
      <c r="U539" s="270">
        <v>0.11</v>
      </c>
    </row>
    <row r="540" spans="2:21" ht="17.399999999999999" thickTop="1" thickBot="1">
      <c r="B540" s="216">
        <v>53.3999999999998</v>
      </c>
      <c r="R540" s="343">
        <v>41.076436643999692</v>
      </c>
      <c r="S540" s="343">
        <v>14.320249163999893</v>
      </c>
      <c r="T540" s="270">
        <v>1.34</v>
      </c>
      <c r="U540" s="270">
        <v>0.11</v>
      </c>
    </row>
    <row r="541" spans="2:21" ht="17.399999999999999" thickTop="1" thickBot="1">
      <c r="B541" s="103">
        <v>53.499999999999801</v>
      </c>
      <c r="R541" s="343">
        <v>41.23042502499969</v>
      </c>
      <c r="S541" s="343">
        <v>14.373933274999892</v>
      </c>
      <c r="T541" s="270">
        <v>1.35</v>
      </c>
      <c r="U541" s="270">
        <v>0.11</v>
      </c>
    </row>
    <row r="542" spans="2:21" ht="17.399999999999999" thickTop="1" thickBot="1">
      <c r="B542" s="216">
        <v>53.599999999999802</v>
      </c>
      <c r="R542" s="343">
        <v>41.384701503999693</v>
      </c>
      <c r="S542" s="343">
        <v>14.427717823999894</v>
      </c>
      <c r="T542" s="270">
        <v>1.35</v>
      </c>
      <c r="U542" s="270">
        <v>0.11</v>
      </c>
    </row>
    <row r="543" spans="2:21" ht="17.399999999999999" thickTop="1" thickBot="1">
      <c r="B543" s="103">
        <v>53.699999999999797</v>
      </c>
      <c r="R543" s="343">
        <v>41.539266080999688</v>
      </c>
      <c r="S543" s="343">
        <v>14.481602810999892</v>
      </c>
      <c r="T543" s="270">
        <v>1.36</v>
      </c>
      <c r="U543" s="270">
        <v>0.11</v>
      </c>
    </row>
    <row r="544" spans="2:21" ht="17.399999999999999" thickTop="1" thickBot="1">
      <c r="B544" s="216">
        <v>53.799999999999798</v>
      </c>
      <c r="R544" s="343">
        <v>41.694118755999689</v>
      </c>
      <c r="S544" s="343">
        <v>14.53558823599989</v>
      </c>
      <c r="T544" s="270">
        <v>1.36</v>
      </c>
      <c r="U544" s="270">
        <v>0.11</v>
      </c>
    </row>
    <row r="545" spans="2:21" ht="17.399999999999999" thickTop="1" thickBot="1">
      <c r="B545" s="103">
        <v>53.8999999999998</v>
      </c>
      <c r="R545" s="343">
        <v>41.849259528999688</v>
      </c>
      <c r="S545" s="343">
        <v>14.589674098999891</v>
      </c>
      <c r="T545" s="270">
        <v>1.37</v>
      </c>
      <c r="U545" s="270">
        <v>0.11</v>
      </c>
    </row>
    <row r="546" spans="2:21" ht="17.399999999999999" thickTop="1" thickBot="1">
      <c r="B546" s="216">
        <v>53.999999999999801</v>
      </c>
      <c r="R546" s="343">
        <v>42.004688399999694</v>
      </c>
      <c r="S546" s="343">
        <v>14.643860399999893</v>
      </c>
      <c r="T546" s="270">
        <v>1.37</v>
      </c>
      <c r="U546" s="270">
        <v>0.11</v>
      </c>
    </row>
    <row r="547" spans="2:21" ht="17.399999999999999" thickTop="1" thickBot="1">
      <c r="B547" s="103">
        <v>54.099999999999802</v>
      </c>
      <c r="R547" s="343">
        <v>42.16040536899969</v>
      </c>
      <c r="S547" s="343">
        <v>14.698147138999893</v>
      </c>
      <c r="T547" s="270">
        <v>1.38</v>
      </c>
      <c r="U547" s="270">
        <v>0.11</v>
      </c>
    </row>
    <row r="548" spans="2:21" ht="17.399999999999999" thickTop="1" thickBot="1">
      <c r="B548" s="216">
        <v>54.199999999999797</v>
      </c>
      <c r="R548" s="343">
        <v>42.316410435999686</v>
      </c>
      <c r="S548" s="343">
        <v>14.75253431599989</v>
      </c>
      <c r="T548" s="270">
        <v>1.38</v>
      </c>
      <c r="U548" s="270">
        <v>0.11</v>
      </c>
    </row>
    <row r="549" spans="2:21" ht="17.399999999999999" thickTop="1" thickBot="1">
      <c r="B549" s="103">
        <v>54.299999999999798</v>
      </c>
      <c r="R549" s="343">
        <v>42.472703600999679</v>
      </c>
      <c r="S549" s="343">
        <v>14.807021930999889</v>
      </c>
      <c r="T549" s="270">
        <v>1.39</v>
      </c>
      <c r="U549" s="270">
        <v>0.11</v>
      </c>
    </row>
    <row r="550" spans="2:21" ht="17.399999999999999" thickTop="1" thickBot="1">
      <c r="B550" s="216">
        <v>54.3999999999998</v>
      </c>
      <c r="R550" s="343">
        <v>42.629284863999686</v>
      </c>
      <c r="S550" s="343">
        <v>14.861609983999891</v>
      </c>
      <c r="T550" s="270">
        <v>1.39</v>
      </c>
      <c r="U550" s="270">
        <v>0.11</v>
      </c>
    </row>
    <row r="551" spans="2:21" ht="17.399999999999999" thickTop="1" thickBot="1">
      <c r="B551" s="103">
        <v>54.499999999999801</v>
      </c>
      <c r="R551" s="343">
        <v>42.786154224999684</v>
      </c>
      <c r="S551" s="343">
        <v>14.916298474999891</v>
      </c>
      <c r="T551" s="270">
        <v>1.4</v>
      </c>
      <c r="U551" s="270">
        <v>0.11</v>
      </c>
    </row>
    <row r="552" spans="2:21" ht="17.399999999999999" thickTop="1" thickBot="1">
      <c r="B552" s="216">
        <v>54.599999999999802</v>
      </c>
      <c r="R552" s="343">
        <v>42.943311683999688</v>
      </c>
      <c r="S552" s="343">
        <v>14.971087403999892</v>
      </c>
      <c r="T552" s="270">
        <v>1.4</v>
      </c>
      <c r="U552" s="270">
        <v>0.11</v>
      </c>
    </row>
    <row r="553" spans="2:21" ht="17.399999999999999" thickTop="1" thickBot="1">
      <c r="B553" s="103">
        <v>54.699999999999797</v>
      </c>
      <c r="R553" s="343">
        <v>43.100757240999684</v>
      </c>
      <c r="S553" s="343">
        <v>15.02597677099989</v>
      </c>
      <c r="T553" s="270">
        <v>1.41</v>
      </c>
      <c r="U553" s="270">
        <v>0.11</v>
      </c>
    </row>
    <row r="554" spans="2:21" ht="17.399999999999999" thickTop="1" thickBot="1">
      <c r="B554" s="216">
        <v>54.799999999999798</v>
      </c>
      <c r="R554" s="343">
        <v>43.258490895999678</v>
      </c>
      <c r="S554" s="343">
        <v>15.080966575999888</v>
      </c>
      <c r="T554" s="270">
        <v>1.41</v>
      </c>
      <c r="U554" s="270">
        <v>0.11</v>
      </c>
    </row>
    <row r="555" spans="2:21" ht="17.399999999999999" thickTop="1" thickBot="1">
      <c r="B555" s="103">
        <v>54.8999999999998</v>
      </c>
      <c r="R555" s="343">
        <v>43.416512648999685</v>
      </c>
      <c r="S555" s="343">
        <v>15.13605681899989</v>
      </c>
      <c r="T555" s="270">
        <v>1.42</v>
      </c>
      <c r="U555" s="270">
        <v>0.11</v>
      </c>
    </row>
    <row r="556" spans="2:21" ht="17.399999999999999" thickTop="1" thickBot="1">
      <c r="B556" s="216">
        <v>54.999999999999801</v>
      </c>
      <c r="R556" s="343">
        <v>43.574822499999684</v>
      </c>
      <c r="S556" s="343">
        <v>15.191247499999891</v>
      </c>
      <c r="T556" s="270">
        <v>1.42</v>
      </c>
      <c r="U556" s="270">
        <v>0.11</v>
      </c>
    </row>
    <row r="557" spans="2:21" ht="17.399999999999999" thickTop="1" thickBot="1">
      <c r="B557" s="103">
        <v>55.099999999999802</v>
      </c>
      <c r="R557" s="343">
        <v>43.733420448999688</v>
      </c>
      <c r="S557" s="343">
        <v>15.246538618999892</v>
      </c>
      <c r="T557" s="270">
        <v>1.43</v>
      </c>
      <c r="U557" s="270">
        <v>0.11</v>
      </c>
    </row>
    <row r="558" spans="2:21" ht="17.399999999999999" thickTop="1" thickBot="1">
      <c r="B558" s="216">
        <v>55.199999999999797</v>
      </c>
      <c r="R558" s="343">
        <v>43.892306495999676</v>
      </c>
      <c r="S558" s="343">
        <v>15.301930175999889</v>
      </c>
      <c r="T558" s="270">
        <v>1.43</v>
      </c>
      <c r="U558" s="270">
        <v>0.11</v>
      </c>
    </row>
    <row r="559" spans="2:21" ht="17.399999999999999" thickTop="1" thickBot="1">
      <c r="B559" s="103">
        <v>55.299999999999798</v>
      </c>
      <c r="R559" s="343">
        <v>44.051480640999678</v>
      </c>
      <c r="S559" s="343">
        <v>15.357422170999889</v>
      </c>
      <c r="T559" s="270">
        <v>1.44</v>
      </c>
      <c r="U559" s="270">
        <v>0.11</v>
      </c>
    </row>
    <row r="560" spans="2:21" ht="17.399999999999999" thickTop="1" thickBot="1">
      <c r="B560" s="216">
        <v>55.3999999999998</v>
      </c>
      <c r="R560" s="343">
        <v>44.210942883999678</v>
      </c>
      <c r="S560" s="343">
        <v>15.413014603999887</v>
      </c>
      <c r="T560" s="270">
        <v>1.44</v>
      </c>
      <c r="U560" s="270">
        <v>0.11</v>
      </c>
    </row>
    <row r="561" spans="2:21" ht="17.399999999999999" thickTop="1" thickBot="1">
      <c r="B561" s="103">
        <v>55.499999999999801</v>
      </c>
      <c r="R561" s="343">
        <v>44.370693224999677</v>
      </c>
      <c r="S561" s="343">
        <v>15.468707474999889</v>
      </c>
      <c r="T561" s="270">
        <v>1.45</v>
      </c>
      <c r="U561" s="270">
        <v>0.11</v>
      </c>
    </row>
    <row r="562" spans="2:21" ht="17.399999999999999" thickTop="1" thickBot="1">
      <c r="B562" s="216">
        <v>55.599999999999802</v>
      </c>
      <c r="R562" s="343">
        <v>44.530731663999681</v>
      </c>
      <c r="S562" s="343">
        <v>15.524500783999889</v>
      </c>
      <c r="T562" s="270">
        <v>1.45</v>
      </c>
      <c r="U562" s="270">
        <v>0.11</v>
      </c>
    </row>
    <row r="563" spans="2:21" ht="17.399999999999999" thickTop="1" thickBot="1">
      <c r="B563" s="103">
        <v>55.699999999999797</v>
      </c>
      <c r="R563" s="343">
        <v>44.691058200999677</v>
      </c>
      <c r="S563" s="343">
        <v>15.580394530999888</v>
      </c>
      <c r="T563" s="270">
        <v>1.46</v>
      </c>
      <c r="U563" s="270">
        <v>0.11</v>
      </c>
    </row>
    <row r="564" spans="2:21" ht="17.399999999999999" thickTop="1" thickBot="1">
      <c r="B564" s="216">
        <v>55.799999999999798</v>
      </c>
      <c r="R564" s="343">
        <v>44.851672835999679</v>
      </c>
      <c r="S564" s="343">
        <v>15.636388715999887</v>
      </c>
      <c r="T564" s="270">
        <v>1.46</v>
      </c>
      <c r="U564" s="270">
        <v>0.12</v>
      </c>
    </row>
    <row r="565" spans="2:21" ht="17.399999999999999" thickTop="1" thickBot="1">
      <c r="B565" s="103">
        <v>55.8999999999998</v>
      </c>
      <c r="R565" s="343">
        <v>45.012575568999679</v>
      </c>
      <c r="S565" s="343">
        <v>15.692483338999889</v>
      </c>
      <c r="T565" s="270">
        <v>1.47</v>
      </c>
      <c r="U565" s="270">
        <v>0.12</v>
      </c>
    </row>
    <row r="566" spans="2:21" ht="17.399999999999999" thickTop="1" thickBot="1">
      <c r="B566" s="216">
        <v>55.999999999999801</v>
      </c>
      <c r="R566" s="343">
        <v>45.173766399999678</v>
      </c>
      <c r="S566" s="343">
        <v>15.748678399999889</v>
      </c>
      <c r="T566" s="270">
        <v>1.48</v>
      </c>
      <c r="U566" s="270">
        <v>0.12</v>
      </c>
    </row>
    <row r="567" spans="2:21" ht="17.399999999999999" thickTop="1" thickBot="1">
      <c r="B567" s="103">
        <v>56.099999999999802</v>
      </c>
      <c r="R567" s="343">
        <v>45.335245328999683</v>
      </c>
      <c r="S567" s="343">
        <v>15.804973898999888</v>
      </c>
      <c r="T567" s="270">
        <v>1.48</v>
      </c>
      <c r="U567" s="270">
        <v>0.12</v>
      </c>
    </row>
    <row r="568" spans="2:21" ht="17.399999999999999" thickTop="1" thickBot="1">
      <c r="B568" s="216">
        <v>56.199999999999797</v>
      </c>
      <c r="R568" s="343">
        <v>45.497012355999672</v>
      </c>
      <c r="S568" s="343">
        <v>15.861369835999886</v>
      </c>
      <c r="T568" s="270">
        <v>1.49</v>
      </c>
      <c r="U568" s="270">
        <v>0.12</v>
      </c>
    </row>
    <row r="569" spans="2:21" ht="17.399999999999999" thickTop="1" thickBot="1">
      <c r="B569" s="103">
        <v>56.299999999999798</v>
      </c>
      <c r="R569" s="343">
        <v>45.659067480999674</v>
      </c>
      <c r="S569" s="343">
        <v>15.917866210999886</v>
      </c>
      <c r="T569" s="270">
        <v>1.49</v>
      </c>
      <c r="U569" s="270">
        <v>0.12</v>
      </c>
    </row>
    <row r="570" spans="2:21" ht="17.399999999999999" thickTop="1" thickBot="1">
      <c r="B570" s="216">
        <v>56.3999999999998</v>
      </c>
      <c r="R570" s="343">
        <v>45.821410703999675</v>
      </c>
      <c r="S570" s="343">
        <v>15.974463023999887</v>
      </c>
      <c r="T570" s="270">
        <v>1.5</v>
      </c>
      <c r="U570" s="270">
        <v>0.12</v>
      </c>
    </row>
    <row r="571" spans="2:21" ht="17.399999999999999" thickTop="1" thickBot="1">
      <c r="B571" s="103">
        <v>56.499999999999801</v>
      </c>
      <c r="R571" s="343">
        <v>45.984042024999681</v>
      </c>
      <c r="S571" s="343">
        <v>16.031160274999888</v>
      </c>
      <c r="T571" s="270">
        <v>1.5</v>
      </c>
      <c r="U571" s="270">
        <v>0.12</v>
      </c>
    </row>
    <row r="572" spans="2:21" ht="17.399999999999999" thickTop="1" thickBot="1">
      <c r="B572" s="216">
        <v>56.599999999999802</v>
      </c>
      <c r="R572" s="343">
        <v>46.146961443999679</v>
      </c>
      <c r="S572" s="343">
        <v>16.087957963999887</v>
      </c>
      <c r="T572" s="270">
        <v>1.51</v>
      </c>
      <c r="U572" s="270">
        <v>0.12</v>
      </c>
    </row>
    <row r="573" spans="2:21" ht="17.399999999999999" thickTop="1" thickBot="1">
      <c r="B573" s="103">
        <v>56.699999999999797</v>
      </c>
      <c r="R573" s="343">
        <v>46.310168960999668</v>
      </c>
      <c r="S573" s="343">
        <v>16.144856090999884</v>
      </c>
      <c r="T573" s="270">
        <v>1.51</v>
      </c>
      <c r="U573" s="270">
        <v>0.12</v>
      </c>
    </row>
    <row r="574" spans="2:21" ht="17.399999999999999" thickTop="1" thickBot="1">
      <c r="B574" s="216">
        <v>56.799999999999798</v>
      </c>
      <c r="R574" s="343">
        <v>46.47366457599967</v>
      </c>
      <c r="S574" s="343">
        <v>16.201854655999885</v>
      </c>
      <c r="T574" s="270">
        <v>1.52</v>
      </c>
      <c r="U574" s="270">
        <v>0.12</v>
      </c>
    </row>
    <row r="575" spans="2:21" ht="17.399999999999999" thickTop="1" thickBot="1">
      <c r="B575" s="103">
        <v>56.8999999999998</v>
      </c>
      <c r="R575" s="343">
        <v>46.637448288999671</v>
      </c>
      <c r="S575" s="343">
        <v>16.258953658999886</v>
      </c>
      <c r="T575" s="270">
        <v>1.52</v>
      </c>
      <c r="U575" s="270">
        <v>0.12</v>
      </c>
    </row>
    <row r="576" spans="2:21" ht="17.399999999999999" thickTop="1" thickBot="1">
      <c r="B576" s="216">
        <v>56.999999999999801</v>
      </c>
      <c r="R576" s="343">
        <v>46.801520099999671</v>
      </c>
      <c r="S576" s="343">
        <v>16.316153099999887</v>
      </c>
      <c r="T576" s="270">
        <v>1.53</v>
      </c>
      <c r="U576" s="270">
        <v>0.12</v>
      </c>
    </row>
    <row r="577" spans="2:21" ht="17.399999999999999" thickTop="1" thickBot="1">
      <c r="B577" s="103">
        <v>57.099999999999802</v>
      </c>
      <c r="R577" s="343">
        <v>46.965880008999676</v>
      </c>
      <c r="S577" s="343">
        <v>16.373452978999889</v>
      </c>
      <c r="T577" s="270">
        <v>1.53</v>
      </c>
      <c r="U577" s="270">
        <v>0.12</v>
      </c>
    </row>
    <row r="578" spans="2:21" ht="17.399999999999999" thickTop="1" thickBot="1">
      <c r="B578" s="216">
        <v>57.199999999999797</v>
      </c>
      <c r="R578" s="343">
        <v>47.130528015999666</v>
      </c>
      <c r="S578" s="343">
        <v>16.430853295999885</v>
      </c>
      <c r="T578" s="270">
        <v>1.54</v>
      </c>
      <c r="U578" s="270">
        <v>0.12</v>
      </c>
    </row>
    <row r="579" spans="2:21" ht="17.399999999999999" thickTop="1" thickBot="1">
      <c r="B579" s="103">
        <v>57.299999999999798</v>
      </c>
      <c r="R579" s="343">
        <v>47.295464120999668</v>
      </c>
      <c r="S579" s="343">
        <v>16.488354050999884</v>
      </c>
      <c r="T579" s="270">
        <v>1.54</v>
      </c>
      <c r="U579" s="270">
        <v>0.12</v>
      </c>
    </row>
    <row r="580" spans="2:21" ht="17.399999999999999" thickTop="1" thickBot="1">
      <c r="B580" s="216">
        <v>57.3999999999998</v>
      </c>
      <c r="R580" s="343">
        <v>47.460688323999669</v>
      </c>
      <c r="S580" s="343">
        <v>16.545955243999884</v>
      </c>
      <c r="T580" s="270">
        <v>1.55</v>
      </c>
      <c r="U580" s="270">
        <v>0.12</v>
      </c>
    </row>
    <row r="581" spans="2:21" ht="17.399999999999999" thickTop="1" thickBot="1">
      <c r="B581" s="103">
        <v>57.499999999999801</v>
      </c>
      <c r="R581" s="343">
        <v>47.626200624999676</v>
      </c>
      <c r="S581" s="343">
        <v>16.603656874999885</v>
      </c>
      <c r="T581" s="270">
        <v>1.56</v>
      </c>
      <c r="U581" s="270">
        <v>0.12</v>
      </c>
    </row>
    <row r="582" spans="2:21" ht="17.399999999999999" thickTop="1" thickBot="1">
      <c r="B582" s="216">
        <v>57.599999999999802</v>
      </c>
      <c r="R582" s="343">
        <v>47.792001023999667</v>
      </c>
      <c r="S582" s="343">
        <v>16.661458943999886</v>
      </c>
      <c r="T582" s="270">
        <v>1.56</v>
      </c>
      <c r="U582" s="270">
        <v>0.12</v>
      </c>
    </row>
    <row r="583" spans="2:21" ht="17.399999999999999" thickTop="1" thickBot="1">
      <c r="B583" s="103">
        <v>57.699999999999797</v>
      </c>
      <c r="R583" s="343">
        <v>47.958089520999664</v>
      </c>
      <c r="S583" s="343">
        <v>16.719361450999884</v>
      </c>
      <c r="T583" s="270">
        <v>1.57</v>
      </c>
      <c r="U583" s="270">
        <v>0.12</v>
      </c>
    </row>
    <row r="584" spans="2:21" ht="17.399999999999999" thickTop="1" thickBot="1">
      <c r="B584" s="216">
        <v>57.799999999999798</v>
      </c>
      <c r="R584" s="343">
        <v>48.12446611599966</v>
      </c>
      <c r="S584" s="343">
        <v>16.777364395999882</v>
      </c>
      <c r="T584" s="270">
        <v>1.57</v>
      </c>
      <c r="U584" s="270">
        <v>0.12</v>
      </c>
    </row>
    <row r="585" spans="2:21" ht="17.399999999999999" thickTop="1" thickBot="1">
      <c r="B585" s="103">
        <v>57.8999999999998</v>
      </c>
      <c r="R585" s="343">
        <v>48.291130808999661</v>
      </c>
      <c r="S585" s="343">
        <v>16.835467778999885</v>
      </c>
      <c r="T585" s="270">
        <v>1.58</v>
      </c>
      <c r="U585" s="270">
        <v>0.12</v>
      </c>
    </row>
    <row r="586" spans="2:21" ht="17.399999999999999" thickTop="1" thickBot="1">
      <c r="B586" s="216">
        <v>57.999999999999801</v>
      </c>
      <c r="R586" s="343">
        <v>48.458083599999668</v>
      </c>
      <c r="S586" s="343">
        <v>16.893671599999884</v>
      </c>
      <c r="T586" s="270">
        <v>1.58</v>
      </c>
      <c r="U586" s="270">
        <v>0.12</v>
      </c>
    </row>
    <row r="587" spans="2:21" ht="17.399999999999999" thickTop="1" thickBot="1">
      <c r="B587" s="103">
        <v>58.099999999999802</v>
      </c>
      <c r="R587" s="343">
        <v>48.625324488999667</v>
      </c>
      <c r="S587" s="343">
        <v>16.951975858999884</v>
      </c>
      <c r="T587" s="270">
        <v>1.59</v>
      </c>
      <c r="U587" s="270">
        <v>0.12</v>
      </c>
    </row>
    <row r="588" spans="2:21" ht="17.399999999999999" thickTop="1" thickBot="1">
      <c r="B588" s="216">
        <v>58.199999999999797</v>
      </c>
      <c r="R588" s="343">
        <v>48.792853475999657</v>
      </c>
      <c r="S588" s="343">
        <v>17.01038055599988</v>
      </c>
      <c r="T588" s="270">
        <v>1.59</v>
      </c>
      <c r="U588" s="270">
        <v>0.13</v>
      </c>
    </row>
    <row r="589" spans="2:21" ht="17.399999999999999" thickTop="1" thickBot="1">
      <c r="B589" s="103">
        <v>58.299999999999798</v>
      </c>
      <c r="R589" s="343">
        <v>48.960670560999667</v>
      </c>
      <c r="S589" s="343">
        <v>17.068885690999885</v>
      </c>
      <c r="T589" s="270">
        <v>1.6</v>
      </c>
      <c r="U589" s="270">
        <v>0.13</v>
      </c>
    </row>
    <row r="590" spans="2:21" ht="17.399999999999999" thickTop="1" thickBot="1">
      <c r="B590" s="216">
        <v>58.3999999999998</v>
      </c>
      <c r="R590" s="343">
        <v>49.128775743999668</v>
      </c>
      <c r="S590" s="343">
        <v>17.127491263999882</v>
      </c>
      <c r="T590" s="270">
        <v>1.6</v>
      </c>
      <c r="U590" s="270">
        <v>0.13</v>
      </c>
    </row>
    <row r="591" spans="2:21" ht="17.399999999999999" thickTop="1" thickBot="1">
      <c r="B591" s="103">
        <v>58.499999999999801</v>
      </c>
      <c r="R591" s="343">
        <v>49.297169024999668</v>
      </c>
      <c r="S591" s="343">
        <v>17.186197274999884</v>
      </c>
      <c r="T591" s="270">
        <v>1.61</v>
      </c>
      <c r="U591" s="270">
        <v>0.13</v>
      </c>
    </row>
    <row r="592" spans="2:21" ht="17.399999999999999" thickTop="1" thickBot="1">
      <c r="B592" s="216">
        <v>58.599999999999802</v>
      </c>
      <c r="R592" s="343">
        <v>49.465850403999667</v>
      </c>
      <c r="S592" s="343">
        <v>17.245003723999883</v>
      </c>
      <c r="T592" s="270">
        <v>1.62</v>
      </c>
      <c r="U592" s="270">
        <v>0.13</v>
      </c>
    </row>
    <row r="593" spans="2:21" ht="17.399999999999999" thickTop="1" thickBot="1">
      <c r="B593" s="103">
        <v>58.699999999999797</v>
      </c>
      <c r="R593" s="343">
        <v>49.63481988099965</v>
      </c>
      <c r="S593" s="343">
        <v>17.303910610999878</v>
      </c>
      <c r="T593" s="270">
        <v>1.62</v>
      </c>
      <c r="U593" s="270">
        <v>0.13</v>
      </c>
    </row>
    <row r="594" spans="2:21" ht="17.399999999999999" thickTop="1" thickBot="1">
      <c r="B594" s="216">
        <v>58.799999999999798</v>
      </c>
      <c r="R594" s="343">
        <v>49.804077455999661</v>
      </c>
      <c r="S594" s="343">
        <v>17.362917935999882</v>
      </c>
      <c r="T594" s="270">
        <v>1.63</v>
      </c>
      <c r="U594" s="270">
        <v>0.13</v>
      </c>
    </row>
    <row r="595" spans="2:21" ht="17.399999999999999" thickTop="1" thickBot="1">
      <c r="B595" s="103">
        <v>58.8999999999998</v>
      </c>
      <c r="R595" s="343">
        <v>49.973623128999662</v>
      </c>
      <c r="S595" s="343">
        <v>17.422025698999882</v>
      </c>
      <c r="T595" s="270">
        <v>1.63</v>
      </c>
      <c r="U595" s="270">
        <v>0.13</v>
      </c>
    </row>
    <row r="596" spans="2:21" ht="17.399999999999999" thickTop="1" thickBot="1">
      <c r="B596" s="216">
        <v>58.999999999999801</v>
      </c>
      <c r="R596" s="343">
        <v>50.143456899999663</v>
      </c>
      <c r="S596" s="343">
        <v>17.481233899999882</v>
      </c>
      <c r="T596" s="270">
        <v>1.64</v>
      </c>
      <c r="U596" s="270">
        <v>0.13</v>
      </c>
    </row>
    <row r="597" spans="2:21" ht="17.399999999999999" thickTop="1" thickBot="1">
      <c r="B597" s="103">
        <v>59.099999999999802</v>
      </c>
      <c r="R597" s="343">
        <v>50.313578768999662</v>
      </c>
      <c r="S597" s="343">
        <v>17.540542538999883</v>
      </c>
      <c r="T597" s="270">
        <v>1.64</v>
      </c>
      <c r="U597" s="270">
        <v>0.13</v>
      </c>
    </row>
    <row r="598" spans="2:21" ht="17.399999999999999" thickTop="1" thickBot="1">
      <c r="B598" s="216">
        <v>59.199999999999797</v>
      </c>
      <c r="R598" s="343">
        <v>50.483988735999652</v>
      </c>
      <c r="S598" s="343">
        <v>17.599951615999878</v>
      </c>
      <c r="T598" s="270">
        <v>1.65</v>
      </c>
      <c r="U598" s="270">
        <v>0.13</v>
      </c>
    </row>
    <row r="599" spans="2:21" ht="17.399999999999999" thickTop="1" thickBot="1">
      <c r="B599" s="103">
        <v>59.299999999999798</v>
      </c>
      <c r="R599" s="343">
        <v>50.654686800999656</v>
      </c>
      <c r="S599" s="343">
        <v>17.65946113099988</v>
      </c>
      <c r="T599" s="270">
        <v>1.65</v>
      </c>
      <c r="U599" s="270">
        <v>0.13</v>
      </c>
    </row>
    <row r="600" spans="2:21" ht="17.399999999999999" thickTop="1" thickBot="1">
      <c r="B600" s="216">
        <v>59.3999999999998</v>
      </c>
      <c r="R600" s="343">
        <v>50.825672963999658</v>
      </c>
      <c r="S600" s="343">
        <v>17.719071083999879</v>
      </c>
      <c r="T600" s="270">
        <v>1.66</v>
      </c>
      <c r="U600" s="270">
        <v>0.13</v>
      </c>
    </row>
    <row r="601" spans="2:21" ht="17.399999999999999" thickTop="1" thickBot="1">
      <c r="B601" s="103">
        <v>59.499999999999801</v>
      </c>
      <c r="R601" s="343">
        <v>50.996947224999658</v>
      </c>
      <c r="S601" s="343">
        <v>17.778781474999882</v>
      </c>
      <c r="T601" s="270">
        <v>1.67</v>
      </c>
      <c r="U601" s="270">
        <v>0.13</v>
      </c>
    </row>
    <row r="602" spans="2:21" ht="17.399999999999999" thickTop="1" thickBot="1">
      <c r="B602" s="216">
        <v>59.599999999999802</v>
      </c>
      <c r="R602" s="343">
        <v>51.168509583999665</v>
      </c>
      <c r="S602" s="343">
        <v>17.838592303999885</v>
      </c>
      <c r="T602" s="270">
        <v>1.67</v>
      </c>
      <c r="U602" s="270">
        <v>0.13</v>
      </c>
    </row>
    <row r="603" spans="2:21" ht="17.399999999999999" thickTop="1" thickBot="1">
      <c r="B603" s="103">
        <v>59.699999999999797</v>
      </c>
      <c r="R603" s="343">
        <v>51.340360040999649</v>
      </c>
      <c r="S603" s="343">
        <v>17.898503570999878</v>
      </c>
      <c r="T603" s="270">
        <v>1.68</v>
      </c>
      <c r="U603" s="270">
        <v>0.13</v>
      </c>
    </row>
    <row r="604" spans="2:21" ht="17.399999999999999" thickTop="1" thickBot="1">
      <c r="B604" s="216">
        <v>59.799999999999798</v>
      </c>
      <c r="R604" s="343">
        <v>51.512498595999652</v>
      </c>
      <c r="S604" s="343">
        <v>17.958515275999879</v>
      </c>
      <c r="T604" s="270">
        <v>1.68</v>
      </c>
      <c r="U604" s="270">
        <v>0.13</v>
      </c>
    </row>
    <row r="605" spans="2:21" ht="17.399999999999999" thickTop="1" thickBot="1">
      <c r="B605" s="103">
        <v>59.8999999999998</v>
      </c>
      <c r="R605" s="343">
        <v>51.684925248999654</v>
      </c>
      <c r="S605" s="343">
        <v>18.018627418999881</v>
      </c>
      <c r="T605" s="270">
        <v>1.69</v>
      </c>
      <c r="U605" s="270">
        <v>0.13</v>
      </c>
    </row>
    <row r="606" spans="2:21" ht="17.399999999999999" thickTop="1" thickBot="1">
      <c r="B606" s="216">
        <v>59.999999999999801</v>
      </c>
      <c r="R606" s="343">
        <v>51.857639999999662</v>
      </c>
      <c r="S606" s="343">
        <v>18.078839999999882</v>
      </c>
      <c r="T606" s="270">
        <v>1.69</v>
      </c>
      <c r="U606" s="270">
        <v>0.13</v>
      </c>
    </row>
    <row r="607" spans="2:21" ht="17.399999999999999" thickTop="1" thickBot="1">
      <c r="B607" s="103">
        <v>60.099999999999802</v>
      </c>
      <c r="R607" s="343">
        <v>52.030642848999655</v>
      </c>
      <c r="S607" s="343">
        <v>18.139153018999881</v>
      </c>
      <c r="T607" s="270">
        <v>1.7</v>
      </c>
      <c r="U607" s="270">
        <v>0.13</v>
      </c>
    </row>
    <row r="608" spans="2:21" ht="17.399999999999999" thickTop="1" thickBot="1">
      <c r="B608" s="216">
        <v>60.199999999999797</v>
      </c>
      <c r="R608" s="343">
        <v>52.203933795999646</v>
      </c>
      <c r="S608" s="343">
        <v>18.199566475999877</v>
      </c>
      <c r="T608" s="270">
        <v>1.71</v>
      </c>
      <c r="U608" s="270">
        <v>0.13</v>
      </c>
    </row>
    <row r="609" spans="2:21" ht="17.399999999999999" thickTop="1" thickBot="1">
      <c r="B609" s="103">
        <v>60.299999999999798</v>
      </c>
      <c r="R609" s="343">
        <v>52.37751284099965</v>
      </c>
      <c r="S609" s="343">
        <v>18.260080370999876</v>
      </c>
      <c r="T609" s="270">
        <v>1.71</v>
      </c>
      <c r="U609" s="270">
        <v>0.13</v>
      </c>
    </row>
    <row r="610" spans="2:21" ht="17.399999999999999" thickTop="1" thickBot="1">
      <c r="B610" s="216">
        <v>60.3999999999998</v>
      </c>
      <c r="R610" s="343">
        <v>52.551379983999652</v>
      </c>
      <c r="S610" s="343">
        <v>18.32069470399988</v>
      </c>
      <c r="T610" s="270">
        <v>1.72</v>
      </c>
      <c r="U610" s="270">
        <v>0.13</v>
      </c>
    </row>
    <row r="611" spans="2:21" ht="17.399999999999999" thickTop="1" thickBot="1">
      <c r="B611" s="103">
        <v>60.499999999999801</v>
      </c>
      <c r="R611" s="343">
        <v>52.725535224999653</v>
      </c>
      <c r="S611" s="343">
        <v>18.381409474999881</v>
      </c>
      <c r="T611" s="270">
        <v>1.72</v>
      </c>
      <c r="U611" s="270">
        <v>0.14000000000000001</v>
      </c>
    </row>
    <row r="612" spans="2:21" ht="17.399999999999999" thickTop="1" thickBot="1">
      <c r="B612" s="216">
        <v>60.599999999999802</v>
      </c>
      <c r="R612" s="343">
        <v>52.899978563999653</v>
      </c>
      <c r="S612" s="343">
        <v>18.442224683999878</v>
      </c>
      <c r="T612" s="270">
        <v>1.73</v>
      </c>
      <c r="U612" s="270">
        <v>0.14000000000000001</v>
      </c>
    </row>
    <row r="613" spans="2:21" ht="17.399999999999999" thickTop="1" thickBot="1">
      <c r="B613" s="103">
        <v>60.699999999999797</v>
      </c>
      <c r="R613" s="343">
        <v>53.074710000999644</v>
      </c>
      <c r="S613" s="343">
        <v>18.503140330999877</v>
      </c>
      <c r="T613" s="270">
        <v>1.73</v>
      </c>
      <c r="U613" s="270">
        <v>0.14000000000000001</v>
      </c>
    </row>
    <row r="614" spans="2:21" ht="17.399999999999999" thickTop="1" thickBot="1">
      <c r="B614" s="216">
        <v>60.799999999999798</v>
      </c>
      <c r="R614" s="343">
        <v>53.249729535999641</v>
      </c>
      <c r="S614" s="343">
        <v>18.564156415999875</v>
      </c>
      <c r="T614" s="270">
        <v>1.74</v>
      </c>
      <c r="U614" s="270">
        <v>0.14000000000000001</v>
      </c>
    </row>
    <row r="615" spans="2:21" ht="17.399999999999999" thickTop="1" thickBot="1">
      <c r="B615" s="103">
        <v>60.8999999999998</v>
      </c>
      <c r="R615" s="343">
        <v>53.425037168999644</v>
      </c>
      <c r="S615" s="343">
        <v>18.625272938999878</v>
      </c>
      <c r="T615" s="270">
        <v>1.74</v>
      </c>
      <c r="U615" s="270">
        <v>0.14000000000000001</v>
      </c>
    </row>
    <row r="616" spans="2:21" ht="17.399999999999999" thickTop="1" thickBot="1">
      <c r="B616" s="216">
        <v>60.999999999999801</v>
      </c>
      <c r="R616" s="343">
        <v>53.600632899999653</v>
      </c>
      <c r="S616" s="343">
        <v>18.686489899999881</v>
      </c>
      <c r="T616" s="270">
        <v>1.75</v>
      </c>
      <c r="U616" s="270">
        <v>0.14000000000000001</v>
      </c>
    </row>
    <row r="617" spans="2:21" ht="17.399999999999999" thickTop="1" thickBot="1">
      <c r="B617" s="103">
        <v>61.099999999999802</v>
      </c>
      <c r="R617" s="343">
        <v>53.776516728999653</v>
      </c>
      <c r="S617" s="343">
        <v>18.747807298999881</v>
      </c>
      <c r="T617" s="270">
        <v>1.76</v>
      </c>
      <c r="U617" s="270">
        <v>0.14000000000000001</v>
      </c>
    </row>
    <row r="618" spans="2:21" ht="17.399999999999999" thickTop="1" thickBot="1">
      <c r="B618" s="216">
        <v>61.199999999999797</v>
      </c>
      <c r="R618" s="343">
        <v>53.952688655999637</v>
      </c>
      <c r="S618" s="343">
        <v>18.809225135999874</v>
      </c>
      <c r="T618" s="270">
        <v>1.76</v>
      </c>
      <c r="U618" s="270">
        <v>0.14000000000000001</v>
      </c>
    </row>
    <row r="619" spans="2:21" ht="17.399999999999999" thickTop="1" thickBot="1">
      <c r="B619" s="103">
        <v>61.299999999999798</v>
      </c>
      <c r="R619" s="343">
        <v>54.129148680999641</v>
      </c>
      <c r="S619" s="343">
        <v>18.870743410999875</v>
      </c>
      <c r="T619" s="270">
        <v>1.77</v>
      </c>
      <c r="U619" s="270">
        <v>0.14000000000000001</v>
      </c>
    </row>
    <row r="620" spans="2:21" ht="17.399999999999999" thickTop="1" thickBot="1">
      <c r="B620" s="216">
        <v>61.3999999999998</v>
      </c>
      <c r="R620" s="343">
        <v>54.305896803999644</v>
      </c>
      <c r="S620" s="343">
        <v>18.932362123999877</v>
      </c>
      <c r="T620" s="270">
        <v>1.77</v>
      </c>
      <c r="U620" s="270">
        <v>0.14000000000000001</v>
      </c>
    </row>
    <row r="621" spans="2:21" ht="17.399999999999999" thickTop="1" thickBot="1">
      <c r="B621" s="103">
        <v>61.499999999999801</v>
      </c>
      <c r="R621" s="343">
        <v>54.482933024999646</v>
      </c>
      <c r="S621" s="343">
        <v>18.994081274999878</v>
      </c>
      <c r="T621" s="270">
        <v>1.78</v>
      </c>
      <c r="U621" s="270">
        <v>0.14000000000000001</v>
      </c>
    </row>
    <row r="622" spans="2:21" ht="17.399999999999999" thickTop="1" thickBot="1">
      <c r="B622" s="216">
        <v>61.599999999999802</v>
      </c>
      <c r="R622" s="343">
        <v>54.660257343999653</v>
      </c>
      <c r="S622" s="343">
        <v>19.055900863999881</v>
      </c>
      <c r="T622" s="270">
        <v>1.79</v>
      </c>
      <c r="U622" s="270">
        <v>0.14000000000000001</v>
      </c>
    </row>
    <row r="623" spans="2:21" ht="17.399999999999999" thickTop="1" thickBot="1">
      <c r="B623" s="103">
        <v>61.699999999999797</v>
      </c>
      <c r="R623" s="343">
        <v>54.837869760999638</v>
      </c>
      <c r="S623" s="343">
        <v>19.117820890999873</v>
      </c>
      <c r="T623" s="270">
        <v>1.79</v>
      </c>
      <c r="U623" s="270">
        <v>0.14000000000000001</v>
      </c>
    </row>
    <row r="624" spans="2:21" ht="17.399999999999999" thickTop="1" thickBot="1">
      <c r="B624" s="216">
        <v>61.799999999999798</v>
      </c>
      <c r="R624" s="343">
        <v>55.015770275999643</v>
      </c>
      <c r="S624" s="343">
        <v>19.179841355999876</v>
      </c>
      <c r="T624" s="270">
        <v>1.8</v>
      </c>
      <c r="U624" s="270">
        <v>0.14000000000000001</v>
      </c>
    </row>
    <row r="625" spans="2:21" ht="17.399999999999999" thickTop="1" thickBot="1">
      <c r="B625" s="103">
        <v>61.8999999999998</v>
      </c>
      <c r="R625" s="343">
        <v>55.193958888999639</v>
      </c>
      <c r="S625" s="343">
        <v>19.241962258999877</v>
      </c>
      <c r="T625" s="270">
        <v>1.8</v>
      </c>
      <c r="U625" s="270">
        <v>0.14000000000000001</v>
      </c>
    </row>
    <row r="626" spans="2:21" ht="17.399999999999999" thickTop="1" thickBot="1">
      <c r="B626" s="216">
        <v>61.999999999999801</v>
      </c>
      <c r="R626" s="343">
        <v>55.372435599999648</v>
      </c>
      <c r="S626" s="343">
        <v>19.304183599999877</v>
      </c>
      <c r="T626" s="270">
        <v>1.81</v>
      </c>
      <c r="U626" s="270">
        <v>0.14000000000000001</v>
      </c>
    </row>
    <row r="627" spans="2:21" ht="17.399999999999999" thickTop="1" thickBot="1">
      <c r="B627" s="103">
        <v>62.099999999999802</v>
      </c>
      <c r="R627" s="343">
        <v>55.551200408999641</v>
      </c>
      <c r="S627" s="343">
        <v>19.366505378999875</v>
      </c>
      <c r="T627" s="270">
        <v>1.81</v>
      </c>
      <c r="U627" s="270">
        <v>0.14000000000000001</v>
      </c>
    </row>
    <row r="628" spans="2:21" ht="17.399999999999999" thickTop="1" thickBot="1">
      <c r="B628" s="216">
        <v>62.199999999999797</v>
      </c>
      <c r="R628" s="343">
        <v>55.730253315999633</v>
      </c>
      <c r="S628" s="343">
        <v>19.428927595999873</v>
      </c>
      <c r="T628" s="270">
        <v>1.82</v>
      </c>
      <c r="U628" s="270">
        <v>0.14000000000000001</v>
      </c>
    </row>
    <row r="629" spans="2:21" ht="17.399999999999999" thickTop="1" thickBot="1">
      <c r="B629" s="103">
        <v>62.299999999999798</v>
      </c>
      <c r="R629" s="343">
        <v>55.909594320999638</v>
      </c>
      <c r="S629" s="343">
        <v>19.491450250999875</v>
      </c>
      <c r="T629" s="270">
        <v>1.83</v>
      </c>
      <c r="U629" s="270">
        <v>0.14000000000000001</v>
      </c>
    </row>
    <row r="630" spans="2:21" ht="17.399999999999999" thickTop="1" thickBot="1">
      <c r="B630" s="216">
        <v>62.3999999999998</v>
      </c>
      <c r="R630" s="343">
        <v>56.089223423999641</v>
      </c>
      <c r="S630" s="343">
        <v>19.554073343999875</v>
      </c>
      <c r="T630" s="270">
        <v>1.83</v>
      </c>
      <c r="U630" s="270">
        <v>0.14000000000000001</v>
      </c>
    </row>
    <row r="631" spans="2:21" ht="17.399999999999999" thickTop="1" thickBot="1">
      <c r="B631" s="103">
        <v>62.499999999999801</v>
      </c>
      <c r="R631" s="343">
        <v>56.269140624999636</v>
      </c>
      <c r="S631" s="343">
        <v>19.616796874999874</v>
      </c>
      <c r="T631" s="270">
        <v>1.84</v>
      </c>
      <c r="U631" s="270">
        <v>0.14000000000000001</v>
      </c>
    </row>
    <row r="632" spans="2:21" ht="17.399999999999999" thickTop="1" thickBot="1">
      <c r="B632" s="216">
        <v>62.599999999999802</v>
      </c>
      <c r="R632" s="343">
        <v>56.449345923999644</v>
      </c>
      <c r="S632" s="343">
        <v>19.679620843999874</v>
      </c>
      <c r="T632" s="270">
        <v>1.84</v>
      </c>
      <c r="U632" s="270">
        <v>0.15</v>
      </c>
    </row>
    <row r="633" spans="2:21" ht="17.399999999999999" thickTop="1" thickBot="1">
      <c r="B633" s="103">
        <v>62.699999999999797</v>
      </c>
      <c r="R633" s="343">
        <v>56.629839320999629</v>
      </c>
      <c r="S633" s="343">
        <v>19.742545250999871</v>
      </c>
      <c r="T633" s="270">
        <v>1.85</v>
      </c>
      <c r="U633" s="270">
        <v>0.15</v>
      </c>
    </row>
    <row r="634" spans="2:21" ht="17.399999999999999" thickTop="1" thickBot="1">
      <c r="B634" s="216">
        <v>62.799999999999798</v>
      </c>
      <c r="R634" s="343">
        <v>56.810620815999634</v>
      </c>
      <c r="S634" s="343">
        <v>19.805570095999872</v>
      </c>
      <c r="T634" s="270">
        <v>1.86</v>
      </c>
      <c r="U634" s="270">
        <v>0.15</v>
      </c>
    </row>
    <row r="635" spans="2:21" ht="17.399999999999999" thickTop="1" thickBot="1">
      <c r="B635" s="103">
        <v>62.8999999999998</v>
      </c>
      <c r="R635" s="343">
        <v>56.991690408999638</v>
      </c>
      <c r="S635" s="343">
        <v>19.868695378999874</v>
      </c>
      <c r="T635" s="270">
        <v>1.86</v>
      </c>
      <c r="U635" s="270">
        <v>0.15</v>
      </c>
    </row>
    <row r="636" spans="2:21" ht="17.399999999999999" thickTop="1" thickBot="1">
      <c r="B636" s="216">
        <v>62.999999999999801</v>
      </c>
      <c r="R636" s="343">
        <v>57.17304809999964</v>
      </c>
      <c r="S636" s="343">
        <v>19.931921099999876</v>
      </c>
      <c r="T636" s="270">
        <v>1.87</v>
      </c>
      <c r="U636" s="270">
        <v>0.15</v>
      </c>
    </row>
    <row r="637" spans="2:21" ht="17.399999999999999" thickTop="1" thickBot="1">
      <c r="B637" s="103">
        <v>63.099999999999802</v>
      </c>
      <c r="R637" s="343">
        <v>57.354693888999641</v>
      </c>
      <c r="S637" s="343">
        <v>19.995247258999875</v>
      </c>
      <c r="T637" s="270">
        <v>1.87</v>
      </c>
      <c r="U637" s="270">
        <v>0.15</v>
      </c>
    </row>
    <row r="638" spans="2:21" ht="17.399999999999999" thickTop="1" thickBot="1">
      <c r="B638" s="216">
        <v>63.199999999999797</v>
      </c>
      <c r="R638" s="343">
        <v>57.536627775999627</v>
      </c>
      <c r="S638" s="343">
        <v>20.058673855999871</v>
      </c>
      <c r="T638" s="270">
        <v>1.88</v>
      </c>
      <c r="U638" s="270">
        <v>0.15</v>
      </c>
    </row>
    <row r="639" spans="2:21" ht="17.399999999999999" thickTop="1" thickBot="1">
      <c r="B639" s="103">
        <v>63.299999999999798</v>
      </c>
      <c r="R639" s="343">
        <v>57.718849760999632</v>
      </c>
      <c r="S639" s="343">
        <v>20.122200890999871</v>
      </c>
      <c r="T639" s="270">
        <v>1.89</v>
      </c>
      <c r="U639" s="270">
        <v>0.15</v>
      </c>
    </row>
    <row r="640" spans="2:21" ht="17.399999999999999" thickTop="1" thickBot="1">
      <c r="B640" s="216">
        <v>63.3999999999998</v>
      </c>
      <c r="R640" s="343">
        <v>57.901359843999636</v>
      </c>
      <c r="S640" s="343">
        <v>20.185828363999871</v>
      </c>
      <c r="T640" s="270">
        <v>1.89</v>
      </c>
      <c r="U640" s="270">
        <v>0.15</v>
      </c>
    </row>
    <row r="641" spans="2:21" ht="17.399999999999999" thickTop="1" thickBot="1">
      <c r="B641" s="103">
        <v>63.499999999999801</v>
      </c>
      <c r="R641" s="343">
        <v>58.084158024999631</v>
      </c>
      <c r="S641" s="343">
        <v>20.249556274999872</v>
      </c>
      <c r="T641" s="270">
        <v>1.9</v>
      </c>
      <c r="U641" s="270">
        <v>0.15</v>
      </c>
    </row>
    <row r="642" spans="2:21" ht="17.399999999999999" thickTop="1" thickBot="1">
      <c r="B642" s="216">
        <v>63.599999999999802</v>
      </c>
      <c r="R642" s="343">
        <v>58.267244303999639</v>
      </c>
      <c r="S642" s="343">
        <v>20.313384623999877</v>
      </c>
      <c r="T642" s="270">
        <v>1.9</v>
      </c>
      <c r="U642" s="270">
        <v>0.15</v>
      </c>
    </row>
    <row r="643" spans="2:21" ht="17.399999999999999" thickTop="1" thickBot="1">
      <c r="B643" s="103">
        <v>63.699999999999797</v>
      </c>
      <c r="R643" s="343">
        <v>58.450618680999625</v>
      </c>
      <c r="S643" s="343">
        <v>20.377313410999871</v>
      </c>
      <c r="T643" s="270">
        <v>1.91</v>
      </c>
      <c r="U643" s="270">
        <v>0.15</v>
      </c>
    </row>
    <row r="644" spans="2:21" ht="17.399999999999999" thickTop="1" thickBot="1">
      <c r="B644" s="216">
        <v>63.799999999999798</v>
      </c>
      <c r="R644" s="343">
        <v>58.634281155999631</v>
      </c>
      <c r="S644" s="343">
        <v>20.44134263599987</v>
      </c>
      <c r="T644" s="270">
        <v>1.92</v>
      </c>
      <c r="U644" s="270">
        <v>0.15</v>
      </c>
    </row>
    <row r="645" spans="2:21" ht="17.399999999999999" thickTop="1" thickBot="1">
      <c r="B645" s="103">
        <v>63.8999999999998</v>
      </c>
      <c r="R645" s="343">
        <v>58.818231728999635</v>
      </c>
      <c r="S645" s="343">
        <v>20.505472298999873</v>
      </c>
      <c r="T645" s="270">
        <v>1.92</v>
      </c>
      <c r="U645" s="270">
        <v>0.15</v>
      </c>
    </row>
    <row r="646" spans="2:21" ht="17.399999999999999" thickTop="1" thickBot="1">
      <c r="B646" s="216">
        <v>63.999999999999801</v>
      </c>
      <c r="R646" s="343">
        <v>59.002470399999631</v>
      </c>
      <c r="S646" s="343">
        <v>20.569702399999873</v>
      </c>
      <c r="T646" s="270">
        <v>1.93</v>
      </c>
      <c r="U646" s="270">
        <v>0.15</v>
      </c>
    </row>
    <row r="647" spans="2:21" ht="17.399999999999999" thickTop="1" thickBot="1">
      <c r="B647" s="103">
        <v>64.099999999999795</v>
      </c>
      <c r="R647" s="343">
        <v>59.186997168999625</v>
      </c>
      <c r="S647" s="343">
        <v>20.634032938999869</v>
      </c>
      <c r="T647" s="270">
        <v>1.93</v>
      </c>
      <c r="U647" s="270">
        <v>0.15</v>
      </c>
    </row>
    <row r="648" spans="2:21" ht="17.399999999999999" thickTop="1" thickBot="1">
      <c r="B648" s="216">
        <v>64.199999999999804</v>
      </c>
      <c r="R648" s="343">
        <v>59.371812035999639</v>
      </c>
      <c r="S648" s="343">
        <v>20.698463915999874</v>
      </c>
      <c r="T648" s="270">
        <v>1.94</v>
      </c>
      <c r="U648" s="270">
        <v>0.15</v>
      </c>
    </row>
    <row r="649" spans="2:21" ht="17.399999999999999" thickTop="1" thickBot="1">
      <c r="B649" s="103">
        <v>64.299999999999798</v>
      </c>
      <c r="R649" s="343">
        <v>59.556915000999631</v>
      </c>
      <c r="S649" s="343">
        <v>20.762995330999871</v>
      </c>
      <c r="T649" s="270">
        <v>1.95</v>
      </c>
      <c r="U649" s="270">
        <v>0.15</v>
      </c>
    </row>
    <row r="650" spans="2:21" ht="17.399999999999999" thickTop="1" thickBot="1">
      <c r="B650" s="216">
        <v>64.399999999999807</v>
      </c>
      <c r="R650" s="343">
        <v>59.742306063999642</v>
      </c>
      <c r="S650" s="343">
        <v>20.827627183999876</v>
      </c>
      <c r="T650" s="270">
        <v>1.95</v>
      </c>
      <c r="U650" s="270">
        <v>0.15</v>
      </c>
    </row>
    <row r="651" spans="2:21" ht="17.399999999999999" thickTop="1" thickBot="1">
      <c r="B651" s="103">
        <v>64.499999999999801</v>
      </c>
      <c r="R651" s="343">
        <v>59.927985224999631</v>
      </c>
      <c r="S651" s="343">
        <v>20.892359474999871</v>
      </c>
      <c r="T651" s="270">
        <v>1.96</v>
      </c>
      <c r="U651" s="270">
        <v>0.15</v>
      </c>
    </row>
    <row r="652" spans="2:21" ht="17.399999999999999" thickTop="1" thickBot="1">
      <c r="B652" s="216">
        <v>64.599999999999795</v>
      </c>
      <c r="R652" s="343">
        <v>60.113952483999618</v>
      </c>
      <c r="S652" s="343">
        <v>20.957192203999867</v>
      </c>
      <c r="T652" s="270">
        <v>1.96</v>
      </c>
      <c r="U652" s="270">
        <v>0.15</v>
      </c>
    </row>
    <row r="653" spans="2:21" ht="17.399999999999999" thickTop="1" thickBot="1">
      <c r="B653" s="103">
        <v>64.699999999999804</v>
      </c>
      <c r="R653" s="343">
        <v>60.300207840999633</v>
      </c>
      <c r="S653" s="343">
        <v>21.022125370999873</v>
      </c>
      <c r="T653" s="270">
        <v>1.97</v>
      </c>
      <c r="U653" s="270">
        <v>0.15</v>
      </c>
    </row>
    <row r="654" spans="2:21" ht="17.399999999999999" thickTop="1" thickBot="1">
      <c r="B654" s="216">
        <v>64.799999999999798</v>
      </c>
      <c r="R654" s="343">
        <v>60.486751295999618</v>
      </c>
      <c r="S654" s="343">
        <v>21.087158975999866</v>
      </c>
      <c r="T654" s="270">
        <v>1.98</v>
      </c>
      <c r="U654" s="270">
        <v>0.16</v>
      </c>
    </row>
    <row r="655" spans="2:21" ht="17.399999999999999" thickTop="1" thickBot="1">
      <c r="B655" s="103">
        <v>64.899999999999807</v>
      </c>
      <c r="R655" s="343">
        <v>60.673582848999636</v>
      </c>
      <c r="S655" s="343">
        <v>21.152293018999874</v>
      </c>
      <c r="T655" s="270">
        <v>1.98</v>
      </c>
      <c r="U655" s="270">
        <v>0.16</v>
      </c>
    </row>
    <row r="656" spans="2:21" ht="17.399999999999999" thickTop="1" thickBot="1">
      <c r="B656" s="216">
        <v>64.999999999999801</v>
      </c>
      <c r="R656" s="343">
        <v>60.860702499999633</v>
      </c>
      <c r="S656" s="343">
        <v>21.217527499999871</v>
      </c>
      <c r="T656" s="270">
        <v>1.99</v>
      </c>
      <c r="U656" s="270">
        <v>0.16</v>
      </c>
    </row>
    <row r="657" spans="2:21" ht="17.399999999999999" thickTop="1" thickBot="1">
      <c r="B657" s="103">
        <v>65.099999999999795</v>
      </c>
      <c r="R657" s="343">
        <v>61.048110248999613</v>
      </c>
      <c r="S657" s="343">
        <v>21.282862418999866</v>
      </c>
      <c r="T657" s="270">
        <v>1.99</v>
      </c>
      <c r="U657" s="270">
        <v>0.16</v>
      </c>
    </row>
    <row r="658" spans="2:21" ht="17.399999999999999" thickTop="1" thickBot="1">
      <c r="B658" s="216">
        <v>65.199999999999804</v>
      </c>
      <c r="R658" s="343">
        <v>61.235806095999635</v>
      </c>
      <c r="S658" s="343">
        <v>21.348297775999871</v>
      </c>
      <c r="T658" s="270">
        <v>2</v>
      </c>
      <c r="U658" s="270">
        <v>0.16</v>
      </c>
    </row>
    <row r="659" spans="2:21" ht="17.399999999999999" thickTop="1" thickBot="1">
      <c r="B659" s="103">
        <v>65.299999999999798</v>
      </c>
      <c r="R659" s="343">
        <v>61.42379004099962</v>
      </c>
      <c r="S659" s="343">
        <v>21.41383357099987</v>
      </c>
      <c r="T659" s="270">
        <v>2.0099999999999998</v>
      </c>
      <c r="U659" s="270">
        <v>0.16</v>
      </c>
    </row>
    <row r="660" spans="2:21" ht="17.399999999999999" thickTop="1" thickBot="1">
      <c r="B660" s="216">
        <v>65.399999999999807</v>
      </c>
      <c r="R660" s="343">
        <v>61.612062083999632</v>
      </c>
      <c r="S660" s="343">
        <v>21.479469803999873</v>
      </c>
      <c r="T660" s="270">
        <v>2.0099999999999998</v>
      </c>
      <c r="U660" s="270">
        <v>0.16</v>
      </c>
    </row>
    <row r="661" spans="2:21" ht="17.399999999999999" thickTop="1" thickBot="1">
      <c r="B661" s="103">
        <v>65.499999999999801</v>
      </c>
      <c r="R661" s="343">
        <v>61.800622224999621</v>
      </c>
      <c r="S661" s="343">
        <v>21.545206474999869</v>
      </c>
      <c r="T661" s="270">
        <v>2.02</v>
      </c>
      <c r="U661" s="270">
        <v>0.16</v>
      </c>
    </row>
    <row r="662" spans="2:21" ht="17.399999999999999" thickTop="1" thickBot="1">
      <c r="B662" s="216">
        <v>65.599999999999795</v>
      </c>
      <c r="R662" s="343">
        <v>61.989470463999616</v>
      </c>
      <c r="S662" s="343">
        <v>21.611043583999866</v>
      </c>
      <c r="T662" s="270">
        <v>2.02</v>
      </c>
      <c r="U662" s="270">
        <v>0.16</v>
      </c>
    </row>
    <row r="663" spans="2:21" ht="17.399999999999999" thickTop="1" thickBot="1">
      <c r="B663" s="103">
        <v>65.699999999999804</v>
      </c>
      <c r="R663" s="343">
        <v>62.178606800999631</v>
      </c>
      <c r="S663" s="343">
        <v>21.67698113099987</v>
      </c>
      <c r="T663" s="270">
        <v>2.0299999999999998</v>
      </c>
      <c r="U663" s="270">
        <v>0.16</v>
      </c>
    </row>
    <row r="664" spans="2:21" ht="17.399999999999999" thickTop="1" thickBot="1">
      <c r="B664" s="216">
        <v>65.799999999999798</v>
      </c>
      <c r="R664" s="343">
        <v>62.368031235999609</v>
      </c>
      <c r="S664" s="343">
        <v>21.743019115999864</v>
      </c>
      <c r="T664" s="270">
        <v>2.04</v>
      </c>
      <c r="U664" s="270">
        <v>0.16</v>
      </c>
    </row>
    <row r="665" spans="2:21" ht="17.399999999999999" thickTop="1" thickBot="1">
      <c r="B665" s="103">
        <v>65.899999999999807</v>
      </c>
      <c r="R665" s="343">
        <v>62.557743768999636</v>
      </c>
      <c r="S665" s="343">
        <v>21.809157538999873</v>
      </c>
      <c r="T665" s="270">
        <v>2.04</v>
      </c>
      <c r="U665" s="270">
        <v>0.16</v>
      </c>
    </row>
    <row r="666" spans="2:21" ht="17.399999999999999" thickTop="1" thickBot="1">
      <c r="B666" s="216">
        <v>65.999999999999801</v>
      </c>
      <c r="R666" s="343">
        <v>62.747744399999618</v>
      </c>
      <c r="S666" s="343">
        <v>21.875396399999868</v>
      </c>
      <c r="T666" s="270">
        <v>2.0499999999999998</v>
      </c>
      <c r="U666" s="270">
        <v>0.16</v>
      </c>
    </row>
    <row r="667" spans="2:21" ht="17.399999999999999" thickTop="1" thickBot="1">
      <c r="B667" s="103">
        <v>66.099999999999795</v>
      </c>
      <c r="R667" s="343">
        <v>62.938033128999606</v>
      </c>
      <c r="S667" s="343">
        <v>21.941735698999864</v>
      </c>
      <c r="T667" s="270">
        <v>2.06</v>
      </c>
      <c r="U667" s="270">
        <v>0.16</v>
      </c>
    </row>
    <row r="668" spans="2:21" ht="17.399999999999999" thickTop="1" thickBot="1">
      <c r="B668" s="216">
        <v>66.199999999999804</v>
      </c>
      <c r="R668" s="343">
        <v>63.128609955999629</v>
      </c>
      <c r="S668" s="343">
        <v>22.00817543599987</v>
      </c>
      <c r="T668" s="270">
        <v>2.06</v>
      </c>
      <c r="U668" s="270">
        <v>0.16</v>
      </c>
    </row>
    <row r="669" spans="2:21" ht="17.399999999999999" thickTop="1" thickBot="1">
      <c r="B669" s="103">
        <v>66.299999999999798</v>
      </c>
      <c r="R669" s="343">
        <v>63.319474880999614</v>
      </c>
      <c r="S669" s="343">
        <v>22.074715610999867</v>
      </c>
      <c r="T669" s="270">
        <v>2.0699999999999998</v>
      </c>
      <c r="U669" s="270">
        <v>0.16</v>
      </c>
    </row>
    <row r="670" spans="2:21" ht="17.399999999999999" thickTop="1" thickBot="1">
      <c r="B670" s="216">
        <v>66.399999999999807</v>
      </c>
      <c r="R670" s="343">
        <v>63.510627903999634</v>
      </c>
      <c r="S670" s="343">
        <v>22.141356223999875</v>
      </c>
      <c r="T670" s="270">
        <v>2.0699999999999998</v>
      </c>
      <c r="U670" s="270">
        <v>0.16</v>
      </c>
    </row>
    <row r="671" spans="2:21" ht="17.399999999999999" thickTop="1" thickBot="1">
      <c r="B671" s="103">
        <v>66.499999999999801</v>
      </c>
      <c r="R671" s="343">
        <v>63.702069024999624</v>
      </c>
      <c r="S671" s="343">
        <v>22.208097274999869</v>
      </c>
      <c r="T671" s="270">
        <v>2.08</v>
      </c>
      <c r="U671" s="270">
        <v>0.16</v>
      </c>
    </row>
    <row r="672" spans="2:21" ht="17.399999999999999" thickTop="1" thickBot="1">
      <c r="B672" s="216">
        <v>66.599999999999795</v>
      </c>
      <c r="R672" s="343">
        <v>63.893798243999612</v>
      </c>
      <c r="S672" s="343">
        <v>22.274938763999867</v>
      </c>
      <c r="T672" s="270">
        <v>2.09</v>
      </c>
      <c r="U672" s="270">
        <v>0.16</v>
      </c>
    </row>
    <row r="673" spans="2:21" ht="17.399999999999999" thickTop="1" thickBot="1">
      <c r="B673" s="103">
        <v>66.699999999999804</v>
      </c>
      <c r="R673" s="343">
        <v>64.08581556099962</v>
      </c>
      <c r="S673" s="343">
        <v>22.341880690999869</v>
      </c>
      <c r="T673" s="270">
        <v>2.09</v>
      </c>
      <c r="U673" s="270">
        <v>0.16</v>
      </c>
    </row>
    <row r="674" spans="2:21" ht="17.399999999999999" thickTop="1" thickBot="1">
      <c r="B674" s="216">
        <v>66.799999999999798</v>
      </c>
      <c r="R674" s="343">
        <v>64.278120975999613</v>
      </c>
      <c r="S674" s="343">
        <v>22.408923055999868</v>
      </c>
      <c r="T674" s="270">
        <v>2.1</v>
      </c>
      <c r="U674" s="270">
        <v>0.17</v>
      </c>
    </row>
    <row r="675" spans="2:21" ht="17.399999999999999" thickTop="1" thickBot="1">
      <c r="B675" s="103">
        <v>66.899999999999807</v>
      </c>
      <c r="R675" s="343">
        <v>64.470714488999633</v>
      </c>
      <c r="S675" s="343">
        <v>22.476065858999871</v>
      </c>
      <c r="T675" s="270">
        <v>2.11</v>
      </c>
      <c r="U675" s="270">
        <v>0.17</v>
      </c>
    </row>
    <row r="676" spans="2:21" ht="17.399999999999999" thickTop="1" thickBot="1">
      <c r="B676" s="216">
        <v>66.999999999999801</v>
      </c>
      <c r="R676" s="343">
        <v>64.663596099999623</v>
      </c>
      <c r="S676" s="343">
        <v>22.543309099999867</v>
      </c>
      <c r="T676" s="270">
        <v>2.11</v>
      </c>
      <c r="U676" s="270">
        <v>0.17</v>
      </c>
    </row>
    <row r="677" spans="2:21" ht="17.399999999999999" thickTop="1" thickBot="1">
      <c r="B677" s="103">
        <v>67.099999999999795</v>
      </c>
      <c r="R677" s="343">
        <v>64.856765808999612</v>
      </c>
      <c r="S677" s="343">
        <v>22.610652778999864</v>
      </c>
      <c r="T677" s="270">
        <v>2.12</v>
      </c>
      <c r="U677" s="270">
        <v>0.17</v>
      </c>
    </row>
    <row r="678" spans="2:21" ht="17.399999999999999" thickTop="1" thickBot="1">
      <c r="B678" s="216">
        <v>67.199999999999804</v>
      </c>
      <c r="R678" s="343">
        <v>65.050223615999627</v>
      </c>
      <c r="S678" s="343">
        <v>22.678096895999868</v>
      </c>
      <c r="T678" s="270">
        <v>2.12</v>
      </c>
      <c r="U678" s="270">
        <v>0.17</v>
      </c>
    </row>
    <row r="679" spans="2:21" ht="17.399999999999999" thickTop="1" thickBot="1">
      <c r="B679" s="103">
        <v>67.299999999999798</v>
      </c>
      <c r="R679" s="343">
        <v>65.243969520999613</v>
      </c>
      <c r="S679" s="343">
        <v>22.745641450999862</v>
      </c>
      <c r="T679" s="270">
        <v>2.13</v>
      </c>
      <c r="U679" s="270">
        <v>0.17</v>
      </c>
    </row>
    <row r="680" spans="2:21" ht="17.399999999999999" thickTop="1" thickBot="1">
      <c r="B680" s="216">
        <v>67.399999999999807</v>
      </c>
      <c r="R680" s="343">
        <v>65.438003523999626</v>
      </c>
      <c r="S680" s="343">
        <v>22.813286443999868</v>
      </c>
      <c r="T680" s="270">
        <v>2.14</v>
      </c>
      <c r="U680" s="270">
        <v>0.17</v>
      </c>
    </row>
    <row r="681" spans="2:21" ht="17.399999999999999" thickTop="1" thickBot="1">
      <c r="B681" s="103">
        <v>67.499999999999801</v>
      </c>
      <c r="R681" s="343">
        <v>65.632325624999609</v>
      </c>
      <c r="S681" s="343">
        <v>22.881031874999863</v>
      </c>
      <c r="T681" s="270">
        <v>2.14</v>
      </c>
      <c r="U681" s="270">
        <v>0.17</v>
      </c>
    </row>
    <row r="682" spans="2:21" ht="17.399999999999999" thickTop="1" thickBot="1">
      <c r="B682" s="216">
        <v>67.599999999999795</v>
      </c>
      <c r="R682" s="343">
        <v>65.826935823999591</v>
      </c>
      <c r="S682" s="343">
        <v>22.948877743999859</v>
      </c>
      <c r="T682" s="270">
        <v>2.15</v>
      </c>
      <c r="U682" s="270">
        <v>0.17</v>
      </c>
    </row>
    <row r="683" spans="2:21" ht="17.399999999999999" thickTop="1" thickBot="1">
      <c r="B683" s="103">
        <v>67.699999999999804</v>
      </c>
      <c r="R683" s="343">
        <v>66.021834120999614</v>
      </c>
      <c r="S683" s="343">
        <v>23.016824050999869</v>
      </c>
      <c r="T683" s="270">
        <v>2.16</v>
      </c>
      <c r="U683" s="270">
        <v>0.17</v>
      </c>
    </row>
    <row r="684" spans="2:21" ht="17.399999999999999" thickTop="1" thickBot="1">
      <c r="B684" s="216">
        <v>67.799999999999798</v>
      </c>
      <c r="R684" s="343">
        <v>66.217020515999607</v>
      </c>
      <c r="S684" s="343">
        <v>23.084870795999866</v>
      </c>
      <c r="T684" s="270">
        <v>2.16</v>
      </c>
      <c r="U684" s="270">
        <v>0.17</v>
      </c>
    </row>
    <row r="685" spans="2:21" ht="17.399999999999999" thickTop="1" thickBot="1">
      <c r="B685" s="103">
        <v>67.899999999999807</v>
      </c>
      <c r="R685" s="343">
        <v>66.412495008999613</v>
      </c>
      <c r="S685" s="343">
        <v>23.153017978999866</v>
      </c>
      <c r="T685" s="270">
        <v>2.17</v>
      </c>
      <c r="U685" s="270">
        <v>0.17</v>
      </c>
    </row>
    <row r="686" spans="2:21" ht="17.399999999999999" thickTop="1" thickBot="1">
      <c r="B686" s="216">
        <v>67.999999999999801</v>
      </c>
      <c r="R686" s="343">
        <v>66.608257599999604</v>
      </c>
      <c r="S686" s="343">
        <v>23.221265599999864</v>
      </c>
      <c r="T686" s="270">
        <v>2.1800000000000002</v>
      </c>
      <c r="U686" s="270">
        <v>0.17</v>
      </c>
    </row>
    <row r="687" spans="2:21" ht="17.399999999999999" thickTop="1" thickBot="1">
      <c r="B687" s="103">
        <v>68.099999999999795</v>
      </c>
      <c r="R687" s="343">
        <v>66.804308288999607</v>
      </c>
      <c r="S687" s="343">
        <v>23.289613658999862</v>
      </c>
      <c r="T687" s="270">
        <v>2.1800000000000002</v>
      </c>
      <c r="U687" s="270">
        <v>0.17</v>
      </c>
    </row>
    <row r="688" spans="2:21" ht="17.399999999999999" thickTop="1" thickBot="1">
      <c r="B688" s="216">
        <v>68.199999999999804</v>
      </c>
      <c r="R688" s="343">
        <v>67.000647075999623</v>
      </c>
      <c r="S688" s="343">
        <v>23.358062155999868</v>
      </c>
      <c r="T688" s="270">
        <v>2.19</v>
      </c>
      <c r="U688" s="270">
        <v>0.17</v>
      </c>
    </row>
    <row r="689" spans="2:21" ht="17.399999999999999" thickTop="1" thickBot="1">
      <c r="B689" s="103">
        <v>68.299999999999798</v>
      </c>
      <c r="R689" s="343">
        <v>67.197273960999595</v>
      </c>
      <c r="S689" s="343">
        <v>23.426611090999859</v>
      </c>
      <c r="T689" s="270">
        <v>2.19</v>
      </c>
      <c r="U689" s="270">
        <v>0.17</v>
      </c>
    </row>
    <row r="690" spans="2:21" ht="17.399999999999999" thickTop="1" thickBot="1">
      <c r="B690" s="216">
        <v>68.399999999999807</v>
      </c>
      <c r="R690" s="343">
        <v>67.394188943999609</v>
      </c>
      <c r="S690" s="343">
        <v>23.495260463999866</v>
      </c>
      <c r="T690" s="270">
        <v>2.2000000000000002</v>
      </c>
      <c r="U690" s="270">
        <v>0.17</v>
      </c>
    </row>
    <row r="691" spans="2:21" ht="17.399999999999999" thickTop="1" thickBot="1">
      <c r="B691" s="103">
        <v>68.499999999999801</v>
      </c>
      <c r="R691" s="343">
        <v>67.591392024999607</v>
      </c>
      <c r="S691" s="343">
        <v>23.564010274999863</v>
      </c>
      <c r="T691" s="270">
        <v>2.21</v>
      </c>
      <c r="U691" s="270">
        <v>0.17</v>
      </c>
    </row>
    <row r="692" spans="2:21" ht="17.399999999999999" thickTop="1" thickBot="1">
      <c r="B692" s="216">
        <v>68.599999999999795</v>
      </c>
      <c r="R692" s="343">
        <v>67.788883203999589</v>
      </c>
      <c r="S692" s="343">
        <v>23.632860523999859</v>
      </c>
      <c r="T692" s="270">
        <v>2.21</v>
      </c>
      <c r="U692" s="270">
        <v>0.17</v>
      </c>
    </row>
    <row r="693" spans="2:21" ht="17.399999999999999" thickTop="1" thickBot="1">
      <c r="B693" s="103">
        <v>68.699999999999804</v>
      </c>
      <c r="R693" s="343">
        <v>67.986662480999613</v>
      </c>
      <c r="S693" s="343">
        <v>23.701811210999868</v>
      </c>
      <c r="T693" s="270">
        <v>2.2200000000000002</v>
      </c>
      <c r="U693" s="270">
        <v>0.17</v>
      </c>
    </row>
    <row r="694" spans="2:21" ht="17.399999999999999" thickTop="1" thickBot="1">
      <c r="B694" s="216">
        <v>68.799999999999798</v>
      </c>
      <c r="R694" s="343">
        <v>68.184729855999606</v>
      </c>
      <c r="S694" s="343">
        <v>23.770862335999862</v>
      </c>
      <c r="T694" s="270">
        <v>2.23</v>
      </c>
      <c r="U694" s="270">
        <v>0.18</v>
      </c>
    </row>
    <row r="695" spans="2:21" ht="17.399999999999999" thickTop="1" thickBot="1">
      <c r="B695" s="103">
        <v>68.899999999999807</v>
      </c>
      <c r="R695" s="343">
        <v>68.383085328999627</v>
      </c>
      <c r="S695" s="343">
        <v>23.840013898999867</v>
      </c>
      <c r="T695" s="270">
        <v>2.23</v>
      </c>
      <c r="U695" s="270">
        <v>0.18</v>
      </c>
    </row>
    <row r="696" spans="2:21" ht="17.399999999999999" thickTop="1" thickBot="1">
      <c r="B696" s="216">
        <v>68.999999999999801</v>
      </c>
      <c r="R696" s="343">
        <v>68.581728899999604</v>
      </c>
      <c r="S696" s="343">
        <v>23.909265899999863</v>
      </c>
      <c r="T696" s="270">
        <v>2.2400000000000002</v>
      </c>
      <c r="U696" s="270">
        <v>0.18</v>
      </c>
    </row>
    <row r="697" spans="2:21" ht="17.399999999999999" thickTop="1" thickBot="1">
      <c r="B697" s="103">
        <v>69.099999999999795</v>
      </c>
      <c r="R697" s="343">
        <v>68.780660568999593</v>
      </c>
      <c r="S697" s="343">
        <v>23.978618338999855</v>
      </c>
      <c r="T697" s="270">
        <v>2.25</v>
      </c>
      <c r="U697" s="270">
        <v>0.18</v>
      </c>
    </row>
    <row r="698" spans="2:21" ht="17.399999999999999" thickTop="1" thickBot="1">
      <c r="B698" s="216">
        <v>69.199999999999804</v>
      </c>
      <c r="R698" s="343">
        <v>68.97988033599961</v>
      </c>
      <c r="S698" s="343">
        <v>24.048071215999865</v>
      </c>
      <c r="T698" s="270">
        <v>2.25</v>
      </c>
      <c r="U698" s="270">
        <v>0.18</v>
      </c>
    </row>
    <row r="699" spans="2:21" ht="17.399999999999999" thickTop="1" thickBot="1">
      <c r="B699" s="103">
        <v>69.299999999999798</v>
      </c>
      <c r="R699" s="343">
        <v>69.179388200999597</v>
      </c>
      <c r="S699" s="343">
        <v>24.117624530999858</v>
      </c>
      <c r="T699" s="270">
        <v>2.2599999999999998</v>
      </c>
      <c r="U699" s="270">
        <v>0.18</v>
      </c>
    </row>
    <row r="700" spans="2:21" ht="17.399999999999999" thickTop="1" thickBot="1">
      <c r="B700" s="216">
        <v>69.399999999999807</v>
      </c>
      <c r="R700" s="343">
        <v>69.379184163999611</v>
      </c>
      <c r="S700" s="343">
        <v>24.187278283999866</v>
      </c>
      <c r="T700" s="270">
        <v>2.27</v>
      </c>
      <c r="U700" s="270">
        <v>0.18</v>
      </c>
    </row>
    <row r="701" spans="2:21" ht="17.399999999999999" thickTop="1" thickBot="1">
      <c r="B701" s="103">
        <v>69.499999999999801</v>
      </c>
      <c r="R701" s="343">
        <v>69.579268224999609</v>
      </c>
      <c r="S701" s="343">
        <v>24.257032474999864</v>
      </c>
      <c r="T701" s="270">
        <v>2.27</v>
      </c>
      <c r="U701" s="270">
        <v>0.18</v>
      </c>
    </row>
    <row r="702" spans="2:21" ht="17.399999999999999" thickTop="1" thickBot="1">
      <c r="B702" s="216">
        <v>69.599999999999795</v>
      </c>
      <c r="R702" s="343">
        <v>69.779640383999592</v>
      </c>
      <c r="S702" s="343">
        <v>24.326887103999859</v>
      </c>
      <c r="T702" s="270">
        <v>2.2799999999999998</v>
      </c>
      <c r="U702" s="270">
        <v>0.18</v>
      </c>
    </row>
    <row r="703" spans="2:21" ht="17.399999999999999" thickTop="1" thickBot="1">
      <c r="B703" s="103">
        <v>69.699999999999804</v>
      </c>
      <c r="R703" s="343">
        <v>69.980300640999616</v>
      </c>
      <c r="S703" s="343">
        <v>24.396842170999864</v>
      </c>
      <c r="T703" s="270">
        <v>2.29</v>
      </c>
      <c r="U703" s="270">
        <v>0.18</v>
      </c>
    </row>
    <row r="704" spans="2:21" ht="17.399999999999999" thickTop="1" thickBot="1">
      <c r="B704" s="216">
        <v>69.799999999999798</v>
      </c>
      <c r="R704" s="343">
        <v>70.181248995999596</v>
      </c>
      <c r="S704" s="343">
        <v>24.46689767599986</v>
      </c>
      <c r="T704" s="270">
        <v>2.29</v>
      </c>
      <c r="U704" s="270">
        <v>0.18</v>
      </c>
    </row>
    <row r="705" spans="2:21" ht="17.399999999999999" thickTop="1" thickBot="1">
      <c r="B705" s="103">
        <v>69.899999999999807</v>
      </c>
      <c r="R705" s="343">
        <v>70.382485448999617</v>
      </c>
      <c r="S705" s="343">
        <v>24.537053618999863</v>
      </c>
      <c r="T705" s="270">
        <v>2.2999999999999998</v>
      </c>
      <c r="U705" s="270">
        <v>0.18</v>
      </c>
    </row>
    <row r="706" spans="2:21" ht="17.399999999999999" thickTop="1" thickBot="1">
      <c r="B706" s="216">
        <v>69.999999999999801</v>
      </c>
      <c r="R706" s="343">
        <v>70.584009999999594</v>
      </c>
      <c r="S706" s="343">
        <v>24.60730999999986</v>
      </c>
      <c r="T706" s="270">
        <v>2.31</v>
      </c>
      <c r="U706" s="270">
        <v>0.18</v>
      </c>
    </row>
    <row r="707" spans="2:21" ht="17.399999999999999" thickTop="1" thickBot="1">
      <c r="B707" s="103">
        <v>70.099999999999795</v>
      </c>
      <c r="R707" s="343">
        <v>70.785822648999584</v>
      </c>
      <c r="S707" s="343">
        <v>24.677666818999857</v>
      </c>
      <c r="T707" s="270">
        <v>2.31</v>
      </c>
      <c r="U707" s="270">
        <v>0.18</v>
      </c>
    </row>
    <row r="708" spans="2:21" ht="17.399999999999999" thickTop="1" thickBot="1">
      <c r="B708" s="216">
        <v>70.199999999999804</v>
      </c>
      <c r="R708" s="343">
        <v>70.987923395999601</v>
      </c>
      <c r="S708" s="343">
        <v>24.748124075999865</v>
      </c>
      <c r="T708" s="270">
        <v>2.3199999999999998</v>
      </c>
      <c r="U708" s="270">
        <v>0.18</v>
      </c>
    </row>
    <row r="709" spans="2:21" ht="17.399999999999999" thickTop="1" thickBot="1">
      <c r="B709" s="103">
        <v>70.299999999999798</v>
      </c>
      <c r="R709" s="343">
        <v>71.190312240999603</v>
      </c>
      <c r="S709" s="343">
        <v>24.818681770999859</v>
      </c>
      <c r="T709" s="270">
        <v>2.33</v>
      </c>
      <c r="U709" s="270">
        <v>0.18</v>
      </c>
    </row>
    <row r="710" spans="2:21" ht="17.399999999999999" thickTop="1" thickBot="1">
      <c r="B710" s="216">
        <v>70.399999999999807</v>
      </c>
      <c r="R710" s="343">
        <v>71.392989183999603</v>
      </c>
      <c r="S710" s="343">
        <v>24.889339903999861</v>
      </c>
      <c r="T710" s="270">
        <v>2.33</v>
      </c>
      <c r="U710" s="270">
        <v>0.18</v>
      </c>
    </row>
    <row r="711" spans="2:21" ht="17.399999999999999" thickTop="1" thickBot="1">
      <c r="B711" s="103">
        <v>70.499999999999801</v>
      </c>
      <c r="R711" s="343">
        <v>71.595954224999588</v>
      </c>
      <c r="S711" s="343">
        <v>24.96009847499986</v>
      </c>
      <c r="T711" s="270">
        <v>2.34</v>
      </c>
      <c r="U711" s="270">
        <v>0.18</v>
      </c>
    </row>
    <row r="712" spans="2:21" ht="17.399999999999999" thickTop="1" thickBot="1">
      <c r="B712" s="216">
        <v>70.599999999999795</v>
      </c>
      <c r="R712" s="343">
        <v>71.799207363999585</v>
      </c>
      <c r="S712" s="343">
        <v>25.030957483999856</v>
      </c>
      <c r="T712" s="270">
        <v>2.35</v>
      </c>
      <c r="U712" s="270">
        <v>0.18</v>
      </c>
    </row>
    <row r="713" spans="2:21" ht="17.399999999999999" thickTop="1" thickBot="1">
      <c r="B713" s="103">
        <v>70.699999999999804</v>
      </c>
      <c r="R713" s="343">
        <v>72.00274860099961</v>
      </c>
      <c r="S713" s="343">
        <v>25.101916930999863</v>
      </c>
      <c r="T713" s="270">
        <v>2.35</v>
      </c>
      <c r="U713" s="270">
        <v>0.18</v>
      </c>
    </row>
    <row r="714" spans="2:21" ht="17.399999999999999" thickTop="1" thickBot="1">
      <c r="B714" s="216">
        <v>70.799999999999798</v>
      </c>
      <c r="R714" s="343">
        <v>72.20657793599959</v>
      </c>
      <c r="S714" s="343">
        <v>25.172976815999856</v>
      </c>
      <c r="T714" s="270">
        <v>2.36</v>
      </c>
      <c r="U714" s="270">
        <v>0.19</v>
      </c>
    </row>
    <row r="715" spans="2:21" ht="17.399999999999999" thickTop="1" thickBot="1">
      <c r="B715" s="103">
        <v>70.899999999999807</v>
      </c>
      <c r="R715" s="343">
        <v>72.410695368999598</v>
      </c>
      <c r="S715" s="343">
        <v>25.244137138999861</v>
      </c>
      <c r="T715" s="270">
        <v>2.36</v>
      </c>
      <c r="U715" s="270">
        <v>0.19</v>
      </c>
    </row>
    <row r="716" spans="2:21" ht="17.399999999999999" thickTop="1" thickBot="1">
      <c r="B716" s="216">
        <v>70.999999999999801</v>
      </c>
      <c r="R716" s="343">
        <v>72.61510089999959</v>
      </c>
      <c r="S716" s="343">
        <v>25.315397899999859</v>
      </c>
      <c r="T716" s="270">
        <v>2.37</v>
      </c>
      <c r="U716" s="270">
        <v>0.19</v>
      </c>
    </row>
    <row r="717" spans="2:21" ht="17.399999999999999" thickTop="1" thickBot="1">
      <c r="B717" s="103">
        <v>71.099999999999795</v>
      </c>
      <c r="R717" s="343">
        <v>72.81979452899958</v>
      </c>
      <c r="S717" s="343">
        <v>25.386759098999853</v>
      </c>
      <c r="T717" s="270">
        <v>2.38</v>
      </c>
      <c r="U717" s="270">
        <v>0.19</v>
      </c>
    </row>
    <row r="718" spans="2:21" ht="17.399999999999999" thickTop="1" thickBot="1">
      <c r="B718" s="216">
        <v>71.199999999999804</v>
      </c>
      <c r="R718" s="343">
        <v>73.024776255999598</v>
      </c>
      <c r="S718" s="343">
        <v>25.458220735999863</v>
      </c>
      <c r="T718" s="270">
        <v>2.39</v>
      </c>
      <c r="U718" s="270">
        <v>0.19</v>
      </c>
    </row>
    <row r="719" spans="2:21" ht="17.399999999999999" thickTop="1" thickBot="1">
      <c r="B719" s="103">
        <v>71.299999999999798</v>
      </c>
      <c r="R719" s="343">
        <v>73.230046080999585</v>
      </c>
      <c r="S719" s="343">
        <v>25.529782810999858</v>
      </c>
      <c r="T719" s="270">
        <v>2.39</v>
      </c>
      <c r="U719" s="270">
        <v>0.19</v>
      </c>
    </row>
    <row r="720" spans="2:21" ht="17.399999999999999" thickTop="1" thickBot="1">
      <c r="B720" s="216">
        <v>71.399999999999807</v>
      </c>
      <c r="R720" s="343">
        <v>73.435604003999615</v>
      </c>
      <c r="S720" s="343">
        <v>25.601445323999865</v>
      </c>
      <c r="T720" s="270">
        <v>2.4</v>
      </c>
      <c r="U720" s="270">
        <v>0.19</v>
      </c>
    </row>
    <row r="721" spans="2:21" ht="17.399999999999999" thickTop="1" thickBot="1">
      <c r="B721" s="103">
        <v>71.499999999999801</v>
      </c>
      <c r="R721" s="343">
        <v>73.6414500249996</v>
      </c>
      <c r="S721" s="343">
        <v>25.673208274999858</v>
      </c>
      <c r="T721" s="270">
        <v>2.41</v>
      </c>
      <c r="U721" s="270">
        <v>0.19</v>
      </c>
    </row>
    <row r="722" spans="2:21" ht="17.399999999999999" thickTop="1" thickBot="1">
      <c r="B722" s="216">
        <v>71.599999999999795</v>
      </c>
      <c r="R722" s="343">
        <v>73.847584143999569</v>
      </c>
      <c r="S722" s="343">
        <v>25.745071663999852</v>
      </c>
      <c r="T722" s="270">
        <v>2.41</v>
      </c>
      <c r="U722" s="270">
        <v>0.19</v>
      </c>
    </row>
    <row r="723" spans="2:21" ht="17.399999999999999" thickTop="1" thickBot="1">
      <c r="B723" s="103">
        <v>71.699999999999804</v>
      </c>
      <c r="R723" s="343">
        <v>74.054006360999594</v>
      </c>
      <c r="S723" s="343">
        <v>25.81703549099986</v>
      </c>
      <c r="T723" s="270">
        <v>2.42</v>
      </c>
      <c r="U723" s="270">
        <v>0.19</v>
      </c>
    </row>
    <row r="724" spans="2:21" ht="17.399999999999999" thickTop="1" thickBot="1">
      <c r="B724" s="216">
        <v>71.799999999999798</v>
      </c>
      <c r="R724" s="343">
        <v>74.260716675999575</v>
      </c>
      <c r="S724" s="343">
        <v>25.889099755999855</v>
      </c>
      <c r="T724" s="270">
        <v>2.4300000000000002</v>
      </c>
      <c r="U724" s="270">
        <v>0.19</v>
      </c>
    </row>
    <row r="725" spans="2:21" ht="17.399999999999999" thickTop="1" thickBot="1">
      <c r="B725" s="103">
        <v>71.899999999999807</v>
      </c>
      <c r="R725" s="343">
        <v>74.467715088999597</v>
      </c>
      <c r="S725" s="343">
        <v>25.961264458999864</v>
      </c>
      <c r="T725" s="270">
        <v>2.4300000000000002</v>
      </c>
      <c r="U725" s="270">
        <v>0.19</v>
      </c>
    </row>
    <row r="726" spans="2:21" ht="17.399999999999999" thickTop="1" thickBot="1">
      <c r="B726" s="216">
        <v>71.999999999999801</v>
      </c>
      <c r="R726" s="343">
        <v>74.675001599999575</v>
      </c>
      <c r="S726" s="343">
        <v>26.033529599999856</v>
      </c>
      <c r="T726" s="270">
        <v>2.44</v>
      </c>
      <c r="U726" s="270">
        <v>0.19</v>
      </c>
    </row>
    <row r="727" spans="2:21" ht="17.399999999999999" thickTop="1" thickBot="1">
      <c r="B727" s="103">
        <v>72.099999999999795</v>
      </c>
      <c r="R727" s="343">
        <v>74.882576208999581</v>
      </c>
      <c r="S727" s="343">
        <v>26.105895178999855</v>
      </c>
      <c r="T727" s="270">
        <v>2.4500000000000002</v>
      </c>
      <c r="U727" s="270">
        <v>0.19</v>
      </c>
    </row>
    <row r="728" spans="2:21" ht="17.399999999999999" thickTop="1" thickBot="1">
      <c r="B728" s="216">
        <v>72.199999999999804</v>
      </c>
      <c r="R728" s="343">
        <v>75.090438915999599</v>
      </c>
      <c r="S728" s="343">
        <v>26.178361195999859</v>
      </c>
      <c r="T728" s="270">
        <v>2.4500000000000002</v>
      </c>
      <c r="U728" s="270">
        <v>0.19</v>
      </c>
    </row>
    <row r="729" spans="2:21" ht="17.399999999999999" thickTop="1" thickBot="1">
      <c r="B729" s="103">
        <v>72.299999999999798</v>
      </c>
      <c r="R729" s="343">
        <v>75.298589720999587</v>
      </c>
      <c r="S729" s="343">
        <v>26.250927650999856</v>
      </c>
      <c r="T729" s="270">
        <v>2.46</v>
      </c>
      <c r="U729" s="270">
        <v>0.19</v>
      </c>
    </row>
    <row r="730" spans="2:21" ht="17.399999999999999" thickTop="1" thickBot="1">
      <c r="B730" s="216">
        <v>72.399999999999807</v>
      </c>
      <c r="R730" s="343">
        <v>75.507028623999602</v>
      </c>
      <c r="S730" s="343">
        <v>26.32359454399986</v>
      </c>
      <c r="T730" s="270">
        <v>2.4700000000000002</v>
      </c>
      <c r="U730" s="270">
        <v>0.19</v>
      </c>
    </row>
    <row r="731" spans="2:21" ht="17.399999999999999" thickTop="1" thickBot="1">
      <c r="B731" s="103">
        <v>72.499999999999801</v>
      </c>
      <c r="R731" s="343">
        <v>75.715755624999588</v>
      </c>
      <c r="S731" s="343">
        <v>26.396361874999855</v>
      </c>
      <c r="T731" s="270">
        <v>2.4700000000000002</v>
      </c>
      <c r="U731" s="270">
        <v>0.19</v>
      </c>
    </row>
    <row r="732" spans="2:21" ht="17.399999999999999" thickTop="1" thickBot="1">
      <c r="B732" s="216">
        <v>72.599999999999795</v>
      </c>
      <c r="R732" s="343">
        <v>75.924770723999572</v>
      </c>
      <c r="S732" s="343">
        <v>26.469229643999853</v>
      </c>
      <c r="T732" s="270">
        <v>2.48</v>
      </c>
      <c r="U732" s="270">
        <v>0.2</v>
      </c>
    </row>
    <row r="733" spans="2:21" ht="17.399999999999999" thickTop="1" thickBot="1">
      <c r="B733" s="103">
        <v>72.699999999999804</v>
      </c>
      <c r="R733" s="343">
        <v>76.134073920999597</v>
      </c>
      <c r="S733" s="343">
        <v>26.542197850999859</v>
      </c>
      <c r="T733" s="270">
        <v>2.4900000000000002</v>
      </c>
      <c r="U733" s="270">
        <v>0.2</v>
      </c>
    </row>
    <row r="734" spans="2:21" ht="17.399999999999999" thickTop="1" thickBot="1">
      <c r="B734" s="216">
        <v>72.799999999999798</v>
      </c>
      <c r="R734" s="343">
        <v>76.343665215999579</v>
      </c>
      <c r="S734" s="343">
        <v>26.615266495999855</v>
      </c>
      <c r="T734" s="270">
        <v>2.4900000000000002</v>
      </c>
      <c r="U734" s="270">
        <v>0.2</v>
      </c>
    </row>
    <row r="735" spans="2:21" ht="17.399999999999999" thickTop="1" thickBot="1">
      <c r="B735" s="103">
        <v>72.899999999999807</v>
      </c>
      <c r="R735" s="343">
        <v>76.553544608999587</v>
      </c>
      <c r="S735" s="343">
        <v>26.688435578999858</v>
      </c>
      <c r="T735" s="270">
        <v>2.5</v>
      </c>
      <c r="U735" s="270">
        <v>0.2</v>
      </c>
    </row>
    <row r="736" spans="2:21" ht="17.399999999999999" thickTop="1" thickBot="1">
      <c r="B736" s="216">
        <v>72.999999999999801</v>
      </c>
      <c r="R736" s="343">
        <v>76.76371209999958</v>
      </c>
      <c r="S736" s="343">
        <v>26.761705099999855</v>
      </c>
      <c r="T736" s="270">
        <v>2.5099999999999998</v>
      </c>
      <c r="U736" s="270">
        <v>0.2</v>
      </c>
    </row>
    <row r="737" spans="2:21" ht="17.399999999999999" thickTop="1" thickBot="1">
      <c r="B737" s="103">
        <v>73.099999999999795</v>
      </c>
      <c r="R737" s="343">
        <v>76.974167688999557</v>
      </c>
      <c r="S737" s="343">
        <v>26.835075058999848</v>
      </c>
      <c r="T737" s="270">
        <v>2.5099999999999998</v>
      </c>
      <c r="U737" s="270">
        <v>0.2</v>
      </c>
    </row>
    <row r="738" spans="2:21" ht="17.399999999999999" thickTop="1" thickBot="1">
      <c r="B738" s="216">
        <v>73.199999999999804</v>
      </c>
      <c r="R738" s="343">
        <v>77.18491137599959</v>
      </c>
      <c r="S738" s="343">
        <v>26.908545455999857</v>
      </c>
      <c r="T738" s="270">
        <v>2.52</v>
      </c>
      <c r="U738" s="270">
        <v>0.2</v>
      </c>
    </row>
    <row r="739" spans="2:21" ht="17.399999999999999" thickTop="1" thickBot="1">
      <c r="B739" s="103">
        <v>73.299999999999699</v>
      </c>
      <c r="R739" s="343">
        <v>77.395943160999366</v>
      </c>
      <c r="S739" s="343">
        <v>26.98211629099978</v>
      </c>
      <c r="T739" s="270">
        <v>2.5299999999999998</v>
      </c>
      <c r="U739" s="270">
        <v>0.2</v>
      </c>
    </row>
    <row r="740" spans="2:21" ht="17.399999999999999" thickTop="1" thickBot="1">
      <c r="B740" s="216">
        <v>73.399999999999807</v>
      </c>
      <c r="R740" s="343">
        <v>77.607263043999581</v>
      </c>
      <c r="S740" s="343">
        <v>27.055787563999857</v>
      </c>
      <c r="T740" s="270">
        <v>2.5299999999999998</v>
      </c>
      <c r="U740" s="270">
        <v>0.2</v>
      </c>
    </row>
    <row r="741" spans="2:21" ht="17.399999999999999" thickTop="1" thickBot="1">
      <c r="B741" s="103">
        <v>73.499999999999801</v>
      </c>
      <c r="R741" s="343">
        <v>77.818871024999581</v>
      </c>
      <c r="S741" s="343">
        <v>27.129559274999856</v>
      </c>
      <c r="T741" s="270">
        <v>2.54</v>
      </c>
      <c r="U741" s="270">
        <v>0.2</v>
      </c>
    </row>
    <row r="742" spans="2:21" ht="17.399999999999999" thickTop="1" thickBot="1">
      <c r="B742" s="216">
        <v>73.599999999999795</v>
      </c>
      <c r="R742" s="343">
        <v>78.030767103999565</v>
      </c>
      <c r="S742" s="343">
        <v>27.203431423999849</v>
      </c>
      <c r="T742" s="270">
        <v>2.5499999999999998</v>
      </c>
      <c r="U742" s="270">
        <v>0.2</v>
      </c>
    </row>
    <row r="743" spans="2:21" ht="17.399999999999999" thickTop="1" thickBot="1">
      <c r="B743" s="103">
        <v>73.699999999999804</v>
      </c>
      <c r="R743" s="343">
        <v>78.242951280999591</v>
      </c>
      <c r="S743" s="343">
        <v>27.277404010999856</v>
      </c>
      <c r="T743" s="270">
        <v>2.56</v>
      </c>
      <c r="U743" s="270">
        <v>0.2</v>
      </c>
    </row>
    <row r="744" spans="2:21" ht="17.399999999999999" thickTop="1" thickBot="1">
      <c r="B744" s="216">
        <v>73.799999999999699</v>
      </c>
      <c r="R744" s="343">
        <v>78.45542355599936</v>
      </c>
      <c r="S744" s="343">
        <v>27.351477035999778</v>
      </c>
      <c r="T744" s="270">
        <v>2.56</v>
      </c>
      <c r="U744" s="270">
        <v>0.2</v>
      </c>
    </row>
    <row r="745" spans="2:21" ht="17.399999999999999" thickTop="1" thickBot="1">
      <c r="B745" s="103">
        <v>73.899999999999807</v>
      </c>
      <c r="R745" s="343">
        <v>78.668183928999596</v>
      </c>
      <c r="S745" s="343">
        <v>27.425650498999861</v>
      </c>
      <c r="T745" s="270">
        <v>2.57</v>
      </c>
      <c r="U745" s="270">
        <v>0.2</v>
      </c>
    </row>
    <row r="746" spans="2:21" ht="17.399999999999999" thickTop="1" thickBot="1">
      <c r="B746" s="216">
        <v>73.999999999999801</v>
      </c>
      <c r="R746" s="343">
        <v>78.881232399999575</v>
      </c>
      <c r="S746" s="343">
        <v>27.499924399999855</v>
      </c>
      <c r="T746" s="270">
        <v>2.58</v>
      </c>
      <c r="U746" s="270">
        <v>0.2</v>
      </c>
    </row>
    <row r="747" spans="2:21" ht="17.399999999999999" thickTop="1" thickBot="1">
      <c r="B747" s="103">
        <v>74.099999999999795</v>
      </c>
      <c r="R747" s="343">
        <v>79.094568968999553</v>
      </c>
      <c r="S747" s="343">
        <v>27.574298738999847</v>
      </c>
      <c r="T747" s="270">
        <v>2.58</v>
      </c>
      <c r="U747" s="270">
        <v>0.2</v>
      </c>
    </row>
    <row r="748" spans="2:21" ht="17.399999999999999" thickTop="1" thickBot="1">
      <c r="B748" s="216">
        <v>74.199999999999804</v>
      </c>
      <c r="R748" s="343">
        <v>79.308193635999586</v>
      </c>
      <c r="S748" s="343">
        <v>27.648773515999856</v>
      </c>
      <c r="T748" s="270">
        <v>2.59</v>
      </c>
      <c r="U748" s="270">
        <v>0.2</v>
      </c>
    </row>
    <row r="749" spans="2:21" ht="17.399999999999999" thickTop="1" thickBot="1">
      <c r="B749" s="103">
        <v>74.299999999999699</v>
      </c>
      <c r="R749" s="343">
        <v>79.522106400999348</v>
      </c>
      <c r="S749" s="343">
        <v>27.723348730999774</v>
      </c>
      <c r="T749" s="270">
        <v>2.6</v>
      </c>
      <c r="U749" s="270">
        <v>0.2</v>
      </c>
    </row>
    <row r="750" spans="2:21" ht="17.399999999999999" thickTop="1" thickBot="1">
      <c r="B750" s="216">
        <v>74.399999999999807</v>
      </c>
      <c r="R750" s="343">
        <v>79.736307263999592</v>
      </c>
      <c r="S750" s="343">
        <v>27.798024383999859</v>
      </c>
      <c r="T750" s="270">
        <v>2.6</v>
      </c>
      <c r="U750" s="270">
        <v>0.2</v>
      </c>
    </row>
    <row r="751" spans="2:21" ht="17.399999999999999" thickTop="1" thickBot="1">
      <c r="B751" s="103">
        <v>74.499999999999801</v>
      </c>
      <c r="R751" s="343">
        <v>79.950796224999564</v>
      </c>
      <c r="S751" s="343">
        <v>27.872800474999849</v>
      </c>
      <c r="T751" s="270">
        <v>2.61</v>
      </c>
      <c r="U751" s="270">
        <v>0.21</v>
      </c>
    </row>
    <row r="752" spans="2:21" ht="17.399999999999999" thickTop="1" thickBot="1">
      <c r="B752" s="216">
        <v>74.599999999999696</v>
      </c>
      <c r="R752" s="343">
        <v>80.165573283999336</v>
      </c>
      <c r="S752" s="343">
        <v>27.947677003999772</v>
      </c>
      <c r="T752" s="270">
        <v>2.62</v>
      </c>
      <c r="U752" s="270">
        <v>0.21</v>
      </c>
    </row>
    <row r="753" spans="2:21" ht="17.399999999999999" thickTop="1" thickBot="1">
      <c r="B753" s="103">
        <v>74.699999999999804</v>
      </c>
      <c r="R753" s="343">
        <v>80.380638440999576</v>
      </c>
      <c r="S753" s="343">
        <v>28.022653970999855</v>
      </c>
      <c r="T753" s="270">
        <v>2.63</v>
      </c>
      <c r="U753" s="270">
        <v>0.21</v>
      </c>
    </row>
    <row r="754" spans="2:21" ht="17.399999999999999" thickTop="1" thickBot="1">
      <c r="B754" s="216">
        <v>74.799999999999699</v>
      </c>
      <c r="R754" s="343">
        <v>80.595991695999345</v>
      </c>
      <c r="S754" s="343">
        <v>28.097731375999771</v>
      </c>
      <c r="T754" s="270">
        <v>2.63</v>
      </c>
      <c r="U754" s="270">
        <v>0.21</v>
      </c>
    </row>
    <row r="755" spans="2:21" ht="17.399999999999999" thickTop="1" thickBot="1">
      <c r="B755" s="103">
        <v>74.899999999999693</v>
      </c>
      <c r="R755" s="343">
        <v>80.81163304899934</v>
      </c>
      <c r="S755" s="343">
        <v>28.17290921899977</v>
      </c>
      <c r="T755" s="270">
        <v>2.64</v>
      </c>
      <c r="U755" s="270">
        <v>0.21</v>
      </c>
    </row>
    <row r="756" spans="2:21" ht="17.399999999999999" thickTop="1" thickBot="1">
      <c r="B756" s="216">
        <v>74.999999999999801</v>
      </c>
      <c r="R756" s="343">
        <v>81.027562499999561</v>
      </c>
      <c r="S756" s="343">
        <v>28.248187499999851</v>
      </c>
      <c r="T756" s="270">
        <v>2.65</v>
      </c>
      <c r="U756" s="270">
        <v>0.21</v>
      </c>
    </row>
    <row r="757" spans="2:21" ht="17.399999999999999" thickTop="1" thickBot="1">
      <c r="B757" s="103">
        <v>75.099999999999696</v>
      </c>
      <c r="R757" s="343">
        <v>81.243780048999355</v>
      </c>
      <c r="S757" s="343">
        <v>28.323566218999773</v>
      </c>
      <c r="T757" s="270">
        <v>2.65</v>
      </c>
      <c r="U757" s="270">
        <v>0.21</v>
      </c>
    </row>
    <row r="758" spans="2:21" ht="17.399999999999999" thickTop="1" thickBot="1">
      <c r="B758" s="216">
        <v>75.199999999999804</v>
      </c>
      <c r="R758" s="343">
        <v>81.460285695999573</v>
      </c>
      <c r="S758" s="343">
        <v>28.399045375999854</v>
      </c>
      <c r="T758" s="270">
        <v>2.66</v>
      </c>
      <c r="U758" s="270">
        <v>0.21</v>
      </c>
    </row>
    <row r="759" spans="2:21" ht="17.399999999999999" thickTop="1" thickBot="1">
      <c r="B759" s="103">
        <v>75.299999999999699</v>
      </c>
      <c r="R759" s="343">
        <v>81.67707944099935</v>
      </c>
      <c r="S759" s="343">
        <v>28.474624970999773</v>
      </c>
      <c r="T759" s="270">
        <v>2.67</v>
      </c>
      <c r="U759" s="270">
        <v>0.21</v>
      </c>
    </row>
    <row r="760" spans="2:21" ht="17.399999999999999" thickTop="1" thickBot="1">
      <c r="B760" s="216">
        <v>75.399999999999693</v>
      </c>
      <c r="R760" s="343">
        <v>81.894161283999324</v>
      </c>
      <c r="S760" s="343">
        <v>28.550305003999767</v>
      </c>
      <c r="T760" s="270">
        <v>2.67</v>
      </c>
      <c r="U760" s="270">
        <v>0.21</v>
      </c>
    </row>
    <row r="761" spans="2:21" ht="17.399999999999999" thickTop="1" thickBot="1">
      <c r="B761" s="103">
        <v>75.499999999999801</v>
      </c>
      <c r="R761" s="343">
        <v>82.111531224999567</v>
      </c>
      <c r="S761" s="343">
        <v>28.626085474999851</v>
      </c>
      <c r="T761" s="270">
        <v>2.68</v>
      </c>
      <c r="U761" s="270">
        <v>0.21</v>
      </c>
    </row>
    <row r="762" spans="2:21" ht="17.399999999999999" thickTop="1" thickBot="1">
      <c r="B762" s="216">
        <v>75.599999999999696</v>
      </c>
      <c r="R762" s="343">
        <v>82.329189263999339</v>
      </c>
      <c r="S762" s="343">
        <v>28.701966383999771</v>
      </c>
      <c r="T762" s="270">
        <v>2.69</v>
      </c>
      <c r="U762" s="270">
        <v>0.21</v>
      </c>
    </row>
    <row r="763" spans="2:21" ht="17.399999999999999" thickTop="1" thickBot="1">
      <c r="B763" s="103">
        <v>75.699999999999804</v>
      </c>
      <c r="R763" s="343">
        <v>82.547135400999579</v>
      </c>
      <c r="S763" s="343">
        <v>28.777947730999852</v>
      </c>
      <c r="T763" s="270">
        <v>2.7</v>
      </c>
      <c r="U763" s="270">
        <v>0.21</v>
      </c>
    </row>
    <row r="764" spans="2:21" ht="17.399999999999999" thickTop="1" thickBot="1">
      <c r="B764" s="216">
        <v>75.799999999999699</v>
      </c>
      <c r="R764" s="343">
        <v>82.765369635999335</v>
      </c>
      <c r="S764" s="343">
        <v>28.85402951599977</v>
      </c>
      <c r="T764" s="270">
        <v>2.7</v>
      </c>
      <c r="U764" s="270">
        <v>0.21</v>
      </c>
    </row>
    <row r="765" spans="2:21" ht="17.399999999999999" thickTop="1" thickBot="1">
      <c r="B765" s="103">
        <v>75.899999999999693</v>
      </c>
      <c r="R765" s="343">
        <v>82.98389196899933</v>
      </c>
      <c r="S765" s="343">
        <v>28.930211738999766</v>
      </c>
      <c r="T765" s="270">
        <v>2.71</v>
      </c>
      <c r="U765" s="270">
        <v>0.21</v>
      </c>
    </row>
    <row r="766" spans="2:21" ht="17.399999999999999" thickTop="1" thickBot="1">
      <c r="B766" s="216">
        <v>75.999999999999801</v>
      </c>
      <c r="R766" s="343">
        <v>83.202702399999566</v>
      </c>
      <c r="S766" s="343">
        <v>29.006494399999852</v>
      </c>
      <c r="T766" s="270">
        <v>2.72</v>
      </c>
      <c r="U766" s="270">
        <v>0.21</v>
      </c>
    </row>
    <row r="767" spans="2:21" ht="17.399999999999999" thickTop="1" thickBot="1">
      <c r="B767" s="103">
        <v>76.099999999999696</v>
      </c>
      <c r="R767" s="343">
        <v>83.421800928999332</v>
      </c>
      <c r="S767" s="343">
        <v>29.082877498999768</v>
      </c>
      <c r="T767" s="270">
        <v>2.72</v>
      </c>
      <c r="U767" s="270">
        <v>0.21</v>
      </c>
    </row>
    <row r="768" spans="2:21" ht="17.399999999999999" thickTop="1" thickBot="1">
      <c r="B768" s="216">
        <v>76.199999999999704</v>
      </c>
      <c r="R768" s="343">
        <v>83.641187555999352</v>
      </c>
      <c r="S768" s="343">
        <v>29.159361035999776</v>
      </c>
      <c r="T768" s="270">
        <v>2.73</v>
      </c>
      <c r="U768" s="270">
        <v>0.21</v>
      </c>
    </row>
    <row r="769" spans="2:21" ht="17.399999999999999" thickTop="1" thickBot="1">
      <c r="B769" s="103">
        <v>76.299999999999699</v>
      </c>
      <c r="R769" s="343">
        <v>83.860862280999342</v>
      </c>
      <c r="S769" s="343">
        <v>29.235945010999771</v>
      </c>
      <c r="T769" s="270">
        <v>2.74</v>
      </c>
      <c r="U769" s="270">
        <v>0.22</v>
      </c>
    </row>
    <row r="770" spans="2:21" ht="17.399999999999999" thickTop="1" thickBot="1">
      <c r="B770" s="216">
        <v>76.399999999999693</v>
      </c>
      <c r="R770" s="343">
        <v>84.080825103999317</v>
      </c>
      <c r="S770" s="343">
        <v>29.312629423999763</v>
      </c>
      <c r="T770" s="270">
        <v>2.75</v>
      </c>
      <c r="U770" s="270">
        <v>0.22</v>
      </c>
    </row>
    <row r="771" spans="2:21" ht="17.399999999999999" thickTop="1" thickBot="1">
      <c r="B771" s="103">
        <v>76.499999999999702</v>
      </c>
      <c r="R771" s="343">
        <v>84.301076024999347</v>
      </c>
      <c r="S771" s="343">
        <v>29.389414274999773</v>
      </c>
      <c r="T771" s="270">
        <v>2.75</v>
      </c>
      <c r="U771" s="270">
        <v>0.22</v>
      </c>
    </row>
    <row r="772" spans="2:21" ht="17.399999999999999" thickTop="1" thickBot="1">
      <c r="B772" s="216">
        <v>76.599999999999696</v>
      </c>
      <c r="R772" s="343">
        <v>84.521615043999319</v>
      </c>
      <c r="S772" s="343">
        <v>29.466299563999765</v>
      </c>
      <c r="T772" s="270">
        <v>2.76</v>
      </c>
      <c r="U772" s="270">
        <v>0.22</v>
      </c>
    </row>
    <row r="773" spans="2:21" ht="17.399999999999999" thickTop="1" thickBot="1">
      <c r="B773" s="103">
        <v>76.699999999999704</v>
      </c>
      <c r="R773" s="343">
        <v>84.742442160999346</v>
      </c>
      <c r="S773" s="343">
        <v>29.543285290999773</v>
      </c>
      <c r="T773" s="270">
        <v>2.77</v>
      </c>
      <c r="U773" s="270">
        <v>0.22</v>
      </c>
    </row>
    <row r="774" spans="2:21" ht="17.399999999999999" thickTop="1" thickBot="1">
      <c r="B774" s="216">
        <v>76.799999999999699</v>
      </c>
      <c r="R774" s="343">
        <v>84.963557375999329</v>
      </c>
      <c r="S774" s="343">
        <v>29.620371455999766</v>
      </c>
      <c r="T774" s="270">
        <v>2.77</v>
      </c>
      <c r="U774" s="270">
        <v>0.22</v>
      </c>
    </row>
    <row r="775" spans="2:21" ht="17.399999999999999" thickTop="1" thickBot="1">
      <c r="B775" s="103">
        <v>76.899999999999693</v>
      </c>
      <c r="R775" s="343">
        <v>85.184960688999311</v>
      </c>
      <c r="S775" s="343">
        <v>29.697558058999761</v>
      </c>
      <c r="T775" s="270">
        <v>2.78</v>
      </c>
      <c r="U775" s="270">
        <v>0.22</v>
      </c>
    </row>
    <row r="776" spans="2:21" ht="17.399999999999999" thickTop="1" thickBot="1">
      <c r="B776" s="216">
        <v>76.999999999999702</v>
      </c>
      <c r="R776" s="343">
        <v>85.406652099999334</v>
      </c>
      <c r="S776" s="343">
        <v>29.774845099999769</v>
      </c>
      <c r="T776" s="270">
        <v>2.79</v>
      </c>
      <c r="U776" s="270">
        <v>0.22</v>
      </c>
    </row>
    <row r="777" spans="2:21" ht="17.399999999999999" thickTop="1" thickBot="1">
      <c r="B777" s="103">
        <v>77.099999999999696</v>
      </c>
      <c r="R777" s="343">
        <v>85.628631608999328</v>
      </c>
      <c r="S777" s="343">
        <v>29.852232578999768</v>
      </c>
      <c r="T777" s="270">
        <v>2.8</v>
      </c>
      <c r="U777" s="270">
        <v>0.22</v>
      </c>
    </row>
    <row r="778" spans="2:21" ht="17.399999999999999" thickTop="1" thickBot="1">
      <c r="B778" s="216">
        <v>77.199999999999704</v>
      </c>
      <c r="R778" s="343">
        <v>85.850899215999348</v>
      </c>
      <c r="S778" s="343">
        <v>29.929720495999774</v>
      </c>
      <c r="T778" s="270">
        <v>2.8</v>
      </c>
      <c r="U778" s="270">
        <v>0.22</v>
      </c>
    </row>
    <row r="779" spans="2:21" ht="17.399999999999999" thickTop="1" thickBot="1">
      <c r="B779" s="103">
        <v>77.299999999999699</v>
      </c>
      <c r="R779" s="343">
        <v>86.073454920999325</v>
      </c>
      <c r="S779" s="343">
        <v>30.007308850999767</v>
      </c>
      <c r="T779" s="270">
        <v>2.81</v>
      </c>
      <c r="U779" s="270">
        <v>0.22</v>
      </c>
    </row>
    <row r="780" spans="2:21" ht="17.399999999999999" thickTop="1" thickBot="1">
      <c r="B780" s="216">
        <v>77.399999999999693</v>
      </c>
      <c r="R780" s="343">
        <v>86.296298723999328</v>
      </c>
      <c r="S780" s="343">
        <v>30.084997643999763</v>
      </c>
      <c r="T780" s="270">
        <v>2.82</v>
      </c>
      <c r="U780" s="270">
        <v>0.22</v>
      </c>
    </row>
    <row r="781" spans="2:21" ht="17.399999999999999" thickTop="1" thickBot="1">
      <c r="B781" s="103">
        <v>77.499999999999702</v>
      </c>
      <c r="R781" s="343">
        <v>86.51943062499933</v>
      </c>
      <c r="S781" s="343">
        <v>30.162786874999767</v>
      </c>
      <c r="T781" s="270">
        <v>2.83</v>
      </c>
      <c r="U781" s="270">
        <v>0.22</v>
      </c>
    </row>
    <row r="782" spans="2:21" ht="17.399999999999999" thickTop="1" thickBot="1">
      <c r="B782" s="216">
        <v>77.599999999999696</v>
      </c>
      <c r="R782" s="343">
        <v>86.742850623999317</v>
      </c>
      <c r="S782" s="343">
        <v>30.240676543999765</v>
      </c>
      <c r="T782" s="270">
        <v>2.83</v>
      </c>
      <c r="U782" s="270">
        <v>0.22</v>
      </c>
    </row>
    <row r="783" spans="2:21" ht="17.399999999999999" thickTop="1" thickBot="1">
      <c r="B783" s="103">
        <v>77.699999999999704</v>
      </c>
      <c r="R783" s="343">
        <v>86.966558720999345</v>
      </c>
      <c r="S783" s="343">
        <v>30.318666650999774</v>
      </c>
      <c r="T783" s="270">
        <v>2.84</v>
      </c>
      <c r="U783" s="270">
        <v>0.22</v>
      </c>
    </row>
    <row r="784" spans="2:21" ht="17.399999999999999" thickTop="1" thickBot="1">
      <c r="B784" s="216">
        <v>77.799999999999699</v>
      </c>
      <c r="R784" s="343">
        <v>87.190554915999314</v>
      </c>
      <c r="S784" s="343">
        <v>30.396757195999765</v>
      </c>
      <c r="T784" s="270">
        <v>2.85</v>
      </c>
      <c r="U784" s="270">
        <v>0.22</v>
      </c>
    </row>
    <row r="785" spans="2:21" ht="17.399999999999999" thickTop="1" thickBot="1">
      <c r="B785" s="103">
        <v>77.899999999999693</v>
      </c>
      <c r="R785" s="343">
        <v>87.414839208999311</v>
      </c>
      <c r="S785" s="343">
        <v>30.474948178999764</v>
      </c>
      <c r="T785" s="270">
        <v>2.86</v>
      </c>
      <c r="U785" s="270">
        <v>0.22</v>
      </c>
    </row>
    <row r="786" spans="2:21" ht="17.399999999999999" thickTop="1" thickBot="1">
      <c r="B786" s="216">
        <v>77.999999999999702</v>
      </c>
      <c r="R786" s="343">
        <v>87.639411599999335</v>
      </c>
      <c r="S786" s="343">
        <v>30.553239599999767</v>
      </c>
      <c r="T786" s="270">
        <v>2.86</v>
      </c>
      <c r="U786" s="270">
        <v>0.23</v>
      </c>
    </row>
    <row r="787" spans="2:21" ht="17.399999999999999" thickTop="1" thickBot="1">
      <c r="B787" s="103">
        <v>78.099999999999696</v>
      </c>
      <c r="R787" s="343">
        <v>87.864272088999314</v>
      </c>
      <c r="S787" s="343">
        <v>30.631631458999763</v>
      </c>
      <c r="T787" s="270">
        <v>2.87</v>
      </c>
      <c r="U787" s="270">
        <v>0.23</v>
      </c>
    </row>
    <row r="788" spans="2:21" ht="17.399999999999999" thickTop="1" thickBot="1">
      <c r="B788" s="216">
        <v>78.199999999999704</v>
      </c>
      <c r="R788" s="343">
        <v>88.089420675999335</v>
      </c>
      <c r="S788" s="343">
        <v>30.710123755999767</v>
      </c>
      <c r="T788" s="270">
        <v>2.88</v>
      </c>
      <c r="U788" s="270">
        <v>0.23</v>
      </c>
    </row>
    <row r="789" spans="2:21" ht="17.399999999999999" thickTop="1" thickBot="1">
      <c r="B789" s="103">
        <v>78.299999999999699</v>
      </c>
      <c r="R789" s="343">
        <v>88.314857360999326</v>
      </c>
      <c r="S789" s="343">
        <v>30.788716490999764</v>
      </c>
      <c r="T789" s="270">
        <v>2.88</v>
      </c>
      <c r="U789" s="270">
        <v>0.23</v>
      </c>
    </row>
    <row r="790" spans="2:21" ht="17.399999999999999" thickTop="1" thickBot="1">
      <c r="B790" s="216">
        <v>78.399999999999693</v>
      </c>
      <c r="R790" s="343">
        <v>88.540582143999316</v>
      </c>
      <c r="S790" s="343">
        <v>30.867409663999762</v>
      </c>
      <c r="T790" s="270">
        <v>2.89</v>
      </c>
      <c r="U790" s="270">
        <v>0.23</v>
      </c>
    </row>
    <row r="791" spans="2:21" ht="17.399999999999999" thickTop="1" thickBot="1">
      <c r="B791" s="103">
        <v>78.499999999999702</v>
      </c>
      <c r="R791" s="343">
        <v>88.766595024999319</v>
      </c>
      <c r="S791" s="343">
        <v>30.946203274999764</v>
      </c>
      <c r="T791" s="270">
        <v>2.9</v>
      </c>
      <c r="U791" s="270">
        <v>0.23</v>
      </c>
    </row>
    <row r="792" spans="2:21" ht="17.399999999999999" thickTop="1" thickBot="1">
      <c r="B792" s="216">
        <v>78.599999999999696</v>
      </c>
      <c r="R792" s="343">
        <v>88.992896003999306</v>
      </c>
      <c r="S792" s="343">
        <v>31.025097323999759</v>
      </c>
      <c r="T792" s="270">
        <v>2.91</v>
      </c>
      <c r="U792" s="270">
        <v>0.23</v>
      </c>
    </row>
    <row r="793" spans="2:21" ht="17.399999999999999" thickTop="1" thickBot="1">
      <c r="B793" s="103">
        <v>78.699999999999704</v>
      </c>
      <c r="R793" s="343">
        <v>89.21948508099932</v>
      </c>
      <c r="S793" s="343">
        <v>31.104091810999765</v>
      </c>
      <c r="T793" s="270">
        <v>2.91</v>
      </c>
      <c r="U793" s="270">
        <v>0.23</v>
      </c>
    </row>
    <row r="794" spans="2:21" ht="17.399999999999999" thickTop="1" thickBot="1">
      <c r="B794" s="216">
        <v>78.799999999999699</v>
      </c>
      <c r="R794" s="343">
        <v>89.446362255999318</v>
      </c>
      <c r="S794" s="343">
        <v>31.183186735999762</v>
      </c>
      <c r="T794" s="270">
        <v>2.92</v>
      </c>
      <c r="U794" s="270">
        <v>0.23</v>
      </c>
    </row>
    <row r="795" spans="2:21" ht="17.399999999999999" thickTop="1" thickBot="1">
      <c r="B795" s="103">
        <v>78.899999999999693</v>
      </c>
      <c r="R795" s="343">
        <v>89.673527528999301</v>
      </c>
      <c r="S795" s="343">
        <v>31.262382098999758</v>
      </c>
      <c r="T795" s="270">
        <v>2.93</v>
      </c>
      <c r="U795" s="270">
        <v>0.23</v>
      </c>
    </row>
    <row r="796" spans="2:21" ht="17.399999999999999" thickTop="1" thickBot="1">
      <c r="B796" s="216">
        <v>78.999999999999702</v>
      </c>
      <c r="R796" s="343">
        <v>89.900980899999325</v>
      </c>
      <c r="S796" s="343">
        <v>31.341677899999763</v>
      </c>
      <c r="T796" s="270">
        <v>2.94</v>
      </c>
      <c r="U796" s="270">
        <v>0.23</v>
      </c>
    </row>
    <row r="797" spans="2:21" ht="17.399999999999999" thickTop="1" thickBot="1">
      <c r="B797" s="103">
        <v>79.099999999999696</v>
      </c>
      <c r="R797" s="343">
        <v>90.128722368999306</v>
      </c>
      <c r="S797" s="343">
        <v>31.42107413899976</v>
      </c>
      <c r="T797" s="270">
        <v>2.94</v>
      </c>
      <c r="U797" s="270">
        <v>0.23</v>
      </c>
    </row>
    <row r="798" spans="2:21" ht="17.399999999999999" thickTop="1" thickBot="1">
      <c r="B798" s="216">
        <v>79.199999999999704</v>
      </c>
      <c r="R798" s="343">
        <v>90.356751935999327</v>
      </c>
      <c r="S798" s="343">
        <v>31.500570815999765</v>
      </c>
      <c r="T798" s="270">
        <v>2.95</v>
      </c>
      <c r="U798" s="270">
        <v>0.23</v>
      </c>
    </row>
    <row r="799" spans="2:21" ht="17.399999999999999" thickTop="1" thickBot="1">
      <c r="B799" s="103">
        <v>79.299999999999699</v>
      </c>
      <c r="R799" s="343">
        <v>90.585069600999319</v>
      </c>
      <c r="S799" s="343">
        <v>31.580167930999764</v>
      </c>
      <c r="T799" s="270">
        <v>2.96</v>
      </c>
      <c r="U799" s="270">
        <v>0.23</v>
      </c>
    </row>
    <row r="800" spans="2:21" ht="17.399999999999999" thickTop="1" thickBot="1">
      <c r="B800" s="216">
        <v>79.399999999999693</v>
      </c>
      <c r="R800" s="343">
        <v>90.813675363999295</v>
      </c>
      <c r="S800" s="343">
        <v>31.659865483999756</v>
      </c>
      <c r="T800" s="270">
        <v>2.97</v>
      </c>
      <c r="U800" s="270">
        <v>0.23</v>
      </c>
    </row>
    <row r="801" spans="2:21" ht="17.399999999999999" thickTop="1" thickBot="1">
      <c r="B801" s="103">
        <v>79.499999999999702</v>
      </c>
      <c r="R801" s="343">
        <v>91.042569224999312</v>
      </c>
      <c r="S801" s="343">
        <v>31.739663474999762</v>
      </c>
      <c r="T801" s="270">
        <v>2.97</v>
      </c>
      <c r="U801" s="270">
        <v>0.23</v>
      </c>
    </row>
    <row r="802" spans="2:21" ht="17.399999999999999" thickTop="1" thickBot="1">
      <c r="B802" s="216">
        <v>79.599999999999696</v>
      </c>
      <c r="R802" s="343">
        <v>91.271751183999299</v>
      </c>
      <c r="S802" s="343">
        <v>31.819561903999759</v>
      </c>
      <c r="T802" s="270">
        <v>2.98</v>
      </c>
      <c r="U802" s="270">
        <v>0.23</v>
      </c>
    </row>
    <row r="803" spans="2:21" ht="17.399999999999999" thickTop="1" thickBot="1">
      <c r="B803" s="103">
        <v>79.699999999999704</v>
      </c>
      <c r="R803" s="343">
        <v>91.501221240999314</v>
      </c>
      <c r="S803" s="343">
        <v>31.899560770999763</v>
      </c>
      <c r="T803" s="270">
        <v>2.99</v>
      </c>
      <c r="U803" s="270">
        <v>0.24</v>
      </c>
    </row>
    <row r="804" spans="2:21" ht="17.399999999999999" thickTop="1" thickBot="1">
      <c r="B804" s="216">
        <v>79.799999999999699</v>
      </c>
      <c r="R804" s="343">
        <v>91.730979395999299</v>
      </c>
      <c r="S804" s="343">
        <v>31.97966007599976</v>
      </c>
      <c r="T804" s="270">
        <v>3</v>
      </c>
      <c r="U804" s="270">
        <v>0.24</v>
      </c>
    </row>
    <row r="805" spans="2:21" ht="17.399999999999999" thickTop="1" thickBot="1">
      <c r="B805" s="103">
        <v>79.899999999999693</v>
      </c>
      <c r="R805" s="343">
        <v>91.961025648999296</v>
      </c>
      <c r="S805" s="343">
        <v>32.059859818999755</v>
      </c>
      <c r="T805" s="270">
        <v>3</v>
      </c>
      <c r="U805" s="270">
        <v>0.24</v>
      </c>
    </row>
    <row r="806" spans="2:21" ht="17.399999999999999" thickTop="1" thickBot="1">
      <c r="B806" s="216">
        <v>79.999999999999702</v>
      </c>
      <c r="R806" s="343">
        <v>92.191359999999321</v>
      </c>
      <c r="S806" s="343">
        <v>32.14015999999976</v>
      </c>
      <c r="T806" s="270">
        <v>3.01</v>
      </c>
      <c r="U806" s="270">
        <v>0.24</v>
      </c>
    </row>
    <row r="807" spans="2:21" ht="17.399999999999999" thickTop="1" thickBot="1">
      <c r="B807" s="103">
        <v>80.099999999999696</v>
      </c>
      <c r="R807" s="343">
        <v>92.421982448999302</v>
      </c>
      <c r="S807" s="343">
        <v>32.220560618999755</v>
      </c>
      <c r="T807" s="270">
        <v>3.02</v>
      </c>
      <c r="U807" s="270">
        <v>0.24</v>
      </c>
    </row>
    <row r="808" spans="2:21" ht="17.399999999999999" thickTop="1" thickBot="1">
      <c r="B808" s="216">
        <v>80.199999999999704</v>
      </c>
      <c r="R808" s="343">
        <v>92.652892995999323</v>
      </c>
      <c r="S808" s="343">
        <v>32.301061675999762</v>
      </c>
      <c r="T808" s="270">
        <v>3.03</v>
      </c>
      <c r="U808" s="270">
        <v>0.24</v>
      </c>
    </row>
    <row r="809" spans="2:21" ht="17.399999999999999" thickTop="1" thickBot="1">
      <c r="B809" s="103">
        <v>80.299999999999699</v>
      </c>
      <c r="R809" s="343">
        <v>92.884091640999301</v>
      </c>
      <c r="S809" s="343">
        <v>32.381663170999758</v>
      </c>
      <c r="T809" s="270">
        <v>3.03</v>
      </c>
      <c r="U809" s="270">
        <v>0.24</v>
      </c>
    </row>
    <row r="810" spans="2:21" ht="17.399999999999999" thickTop="1" thickBot="1">
      <c r="B810" s="216">
        <v>80.399999999999693</v>
      </c>
      <c r="R810" s="343">
        <v>93.115578383999292</v>
      </c>
      <c r="S810" s="343">
        <v>32.462365103999751</v>
      </c>
      <c r="T810" s="270">
        <v>3.04</v>
      </c>
      <c r="U810" s="270">
        <v>0.24</v>
      </c>
    </row>
    <row r="811" spans="2:21" ht="17.399999999999999" thickTop="1" thickBot="1">
      <c r="B811" s="103">
        <v>80.499999999999702</v>
      </c>
      <c r="R811" s="343">
        <v>93.34735322499931</v>
      </c>
      <c r="S811" s="343">
        <v>32.543167474999755</v>
      </c>
      <c r="T811" s="270">
        <v>3.05</v>
      </c>
      <c r="U811" s="270">
        <v>0.24</v>
      </c>
    </row>
    <row r="812" spans="2:21" ht="17.399999999999999" thickTop="1" thickBot="1">
      <c r="B812" s="216">
        <v>80.599999999999696</v>
      </c>
      <c r="R812" s="343">
        <v>93.579416163999284</v>
      </c>
      <c r="S812" s="343">
        <v>32.62407028399975</v>
      </c>
      <c r="T812" s="270">
        <v>3.06</v>
      </c>
      <c r="U812" s="270">
        <v>0.24</v>
      </c>
    </row>
    <row r="813" spans="2:21" ht="17.399999999999999" thickTop="1" thickBot="1">
      <c r="B813" s="103">
        <v>80.699999999999704</v>
      </c>
      <c r="R813" s="343">
        <v>93.811767200999313</v>
      </c>
      <c r="S813" s="343">
        <v>32.705073530999762</v>
      </c>
      <c r="T813" s="270">
        <v>3.06</v>
      </c>
      <c r="U813" s="270">
        <v>0.24</v>
      </c>
    </row>
    <row r="814" spans="2:21" ht="17.399999999999999" thickTop="1" thickBot="1">
      <c r="B814" s="216">
        <v>80.799999999999699</v>
      </c>
      <c r="R814" s="343">
        <v>94.044406335999298</v>
      </c>
      <c r="S814" s="343">
        <v>32.786177215999757</v>
      </c>
      <c r="T814" s="270">
        <v>3.07</v>
      </c>
      <c r="U814" s="270">
        <v>0.24</v>
      </c>
    </row>
    <row r="815" spans="2:21" ht="17.399999999999999" thickTop="1" thickBot="1">
      <c r="B815" s="103">
        <v>80.899999999999693</v>
      </c>
      <c r="R815" s="343">
        <v>94.277333568999282</v>
      </c>
      <c r="S815" s="343">
        <v>32.867381338999749</v>
      </c>
      <c r="T815" s="270">
        <v>3.08</v>
      </c>
      <c r="U815" s="270">
        <v>0.24</v>
      </c>
    </row>
    <row r="816" spans="2:21" ht="17.399999999999999" thickTop="1" thickBot="1">
      <c r="B816" s="216">
        <v>80.999999999999702</v>
      </c>
      <c r="R816" s="343">
        <v>94.510548899999307</v>
      </c>
      <c r="S816" s="343">
        <v>32.948685899999759</v>
      </c>
      <c r="T816" s="270">
        <v>3.09</v>
      </c>
      <c r="U816" s="270">
        <v>0.24</v>
      </c>
    </row>
    <row r="817" spans="2:21" ht="17.399999999999999" thickTop="1" thickBot="1">
      <c r="B817" s="103">
        <v>81.099999999999696</v>
      </c>
      <c r="R817" s="343">
        <v>94.744052328999288</v>
      </c>
      <c r="S817" s="343">
        <v>33.030090898999752</v>
      </c>
      <c r="T817" s="270">
        <v>3.09</v>
      </c>
      <c r="U817" s="270">
        <v>0.24</v>
      </c>
    </row>
    <row r="818" spans="2:21" ht="17.399999999999999" thickTop="1" thickBot="1">
      <c r="B818" s="216">
        <v>81.199999999999704</v>
      </c>
      <c r="R818" s="343">
        <v>94.977843855999311</v>
      </c>
      <c r="S818" s="343">
        <v>33.111596335999764</v>
      </c>
      <c r="T818" s="270">
        <v>3.1</v>
      </c>
      <c r="U818" s="270">
        <v>0.24</v>
      </c>
    </row>
    <row r="819" spans="2:21" ht="17.399999999999999" thickTop="1" thickBot="1">
      <c r="B819" s="103">
        <v>81.299999999999699</v>
      </c>
      <c r="R819" s="343">
        <v>95.211923480999303</v>
      </c>
      <c r="S819" s="343">
        <v>33.193202210999758</v>
      </c>
      <c r="T819" s="270">
        <v>3.11</v>
      </c>
      <c r="U819" s="270">
        <v>0.24</v>
      </c>
    </row>
    <row r="820" spans="2:21" ht="17.399999999999999" thickTop="1" thickBot="1">
      <c r="B820" s="216">
        <v>81.399999999999693</v>
      </c>
      <c r="R820" s="343">
        <v>95.44629120399928</v>
      </c>
      <c r="S820" s="343">
        <v>33.274908523999748</v>
      </c>
      <c r="T820" s="270">
        <v>3.12</v>
      </c>
      <c r="U820" s="270">
        <v>0.25</v>
      </c>
    </row>
    <row r="821" spans="2:21" ht="17.399999999999999" thickTop="1" thickBot="1">
      <c r="B821" s="103">
        <v>81.499999999999702</v>
      </c>
      <c r="R821" s="343">
        <v>95.680947024999313</v>
      </c>
      <c r="S821" s="343">
        <v>33.356715274999758</v>
      </c>
      <c r="T821" s="270">
        <v>3.12</v>
      </c>
      <c r="U821" s="270">
        <v>0.25</v>
      </c>
    </row>
    <row r="822" spans="2:21" ht="17.399999999999999" thickTop="1" thickBot="1">
      <c r="B822" s="216">
        <v>81.599999999999696</v>
      </c>
      <c r="R822" s="343">
        <v>95.915890943999287</v>
      </c>
      <c r="S822" s="343">
        <v>33.438622463999749</v>
      </c>
      <c r="T822" s="270">
        <v>3.13</v>
      </c>
      <c r="U822" s="270">
        <v>0.25</v>
      </c>
    </row>
    <row r="823" spans="2:21" ht="17.399999999999999" thickTop="1" thickBot="1">
      <c r="B823" s="103">
        <v>81.699999999999704</v>
      </c>
      <c r="R823" s="343">
        <v>96.151122960999317</v>
      </c>
      <c r="S823" s="343">
        <v>33.520630090999759</v>
      </c>
      <c r="T823" s="270">
        <v>3.14</v>
      </c>
      <c r="U823" s="270">
        <v>0.25</v>
      </c>
    </row>
    <row r="824" spans="2:21" ht="17.399999999999999" thickTop="1" thickBot="1">
      <c r="B824" s="216">
        <v>81.799999999999699</v>
      </c>
      <c r="R824" s="343">
        <v>96.386643075999288</v>
      </c>
      <c r="S824" s="343">
        <v>33.602738155999752</v>
      </c>
      <c r="T824" s="270">
        <v>3.15</v>
      </c>
      <c r="U824" s="270">
        <v>0.25</v>
      </c>
    </row>
    <row r="825" spans="2:21" ht="17.399999999999999" thickTop="1" thickBot="1">
      <c r="B825" s="103">
        <v>81.899999999999693</v>
      </c>
      <c r="R825" s="343">
        <v>96.622451288999272</v>
      </c>
      <c r="S825" s="343">
        <v>33.684946658999749</v>
      </c>
      <c r="T825" s="270">
        <v>3.16</v>
      </c>
      <c r="U825" s="270">
        <v>0.25</v>
      </c>
    </row>
    <row r="826" spans="2:21" ht="17.399999999999999" thickTop="1" thickBot="1">
      <c r="B826" s="216">
        <v>81.999999999999702</v>
      </c>
      <c r="R826" s="343">
        <v>96.858547599999298</v>
      </c>
      <c r="S826" s="343">
        <v>33.767255599999757</v>
      </c>
      <c r="T826" s="270">
        <v>3.16</v>
      </c>
      <c r="U826" s="270">
        <v>0.25</v>
      </c>
    </row>
    <row r="827" spans="2:21" ht="17.399999999999999" thickTop="1" thickBot="1">
      <c r="B827" s="103">
        <v>82.099999999999696</v>
      </c>
      <c r="R827" s="343">
        <v>97.09493200899928</v>
      </c>
      <c r="S827" s="343">
        <v>33.849664978999748</v>
      </c>
      <c r="T827" s="270">
        <v>3.17</v>
      </c>
      <c r="U827" s="270">
        <v>0.25</v>
      </c>
    </row>
    <row r="828" spans="2:21" ht="17.399999999999999" thickTop="1" thickBot="1">
      <c r="B828" s="216">
        <v>82.199999999999704</v>
      </c>
      <c r="R828" s="343">
        <v>97.331604515999288</v>
      </c>
      <c r="S828" s="343">
        <v>33.932174795999757</v>
      </c>
      <c r="T828" s="270">
        <v>3.18</v>
      </c>
      <c r="U828" s="270">
        <v>0.25</v>
      </c>
    </row>
    <row r="829" spans="2:21" ht="17.399999999999999" thickTop="1" thickBot="1">
      <c r="B829" s="103">
        <v>82.299999999999699</v>
      </c>
      <c r="R829" s="343">
        <v>97.568565120999295</v>
      </c>
      <c r="S829" s="343">
        <v>34.014785050999755</v>
      </c>
      <c r="T829" s="270">
        <v>3.19</v>
      </c>
      <c r="U829" s="270">
        <v>0.25</v>
      </c>
    </row>
    <row r="830" spans="2:21" ht="17.399999999999999" thickTop="1" thickBot="1">
      <c r="B830" s="216">
        <v>82.399999999999693</v>
      </c>
      <c r="R830" s="343">
        <v>97.805813823999273</v>
      </c>
      <c r="S830" s="343">
        <v>34.097495743999744</v>
      </c>
      <c r="T830" s="270">
        <v>3.19</v>
      </c>
      <c r="U830" s="270">
        <v>0.25</v>
      </c>
    </row>
    <row r="831" spans="2:21" ht="17.399999999999999" thickTop="1" thickBot="1">
      <c r="B831" s="103">
        <v>82.499999999999702</v>
      </c>
      <c r="R831" s="343">
        <v>98.043350624999292</v>
      </c>
      <c r="S831" s="343">
        <v>34.180306874999758</v>
      </c>
      <c r="T831" s="270">
        <v>3.2</v>
      </c>
      <c r="U831" s="270">
        <v>0.25</v>
      </c>
    </row>
    <row r="832" spans="2:21" ht="17.399999999999999" thickTop="1" thickBot="1">
      <c r="B832" s="216">
        <v>82.599999999999696</v>
      </c>
      <c r="R832" s="343">
        <v>98.281175523999281</v>
      </c>
      <c r="S832" s="343">
        <v>34.263218443999747</v>
      </c>
      <c r="T832" s="270">
        <v>3.21</v>
      </c>
      <c r="U832" s="270">
        <v>0.25</v>
      </c>
    </row>
    <row r="833" spans="2:21" ht="17.399999999999999" thickTop="1" thickBot="1">
      <c r="B833" s="103">
        <v>82.699999999999704</v>
      </c>
      <c r="R833" s="343">
        <v>98.519288520999297</v>
      </c>
      <c r="S833" s="343">
        <v>34.346230450999755</v>
      </c>
      <c r="T833" s="270">
        <v>3.22</v>
      </c>
      <c r="U833" s="270">
        <v>0.25</v>
      </c>
    </row>
    <row r="834" spans="2:21" ht="17.399999999999999" thickTop="1" thickBot="1">
      <c r="B834" s="216">
        <v>82.799999999999699</v>
      </c>
      <c r="R834" s="343">
        <v>98.757689615999283</v>
      </c>
      <c r="S834" s="343">
        <v>34.429342895999753</v>
      </c>
      <c r="T834" s="270">
        <v>3.23</v>
      </c>
      <c r="U834" s="270">
        <v>0.25</v>
      </c>
    </row>
    <row r="835" spans="2:21" ht="17.399999999999999" thickTop="1" thickBot="1">
      <c r="B835" s="103">
        <v>82.899999999999693</v>
      </c>
      <c r="R835" s="343">
        <v>98.996378808999268</v>
      </c>
      <c r="S835" s="343">
        <v>34.512555778999747</v>
      </c>
      <c r="T835" s="270">
        <v>3.23</v>
      </c>
      <c r="U835" s="270">
        <v>0.25</v>
      </c>
    </row>
    <row r="836" spans="2:21" ht="17.399999999999999" thickTop="1" thickBot="1">
      <c r="B836" s="216">
        <v>82.999999999999702</v>
      </c>
      <c r="R836" s="343">
        <v>99.235356099999294</v>
      </c>
      <c r="S836" s="343">
        <v>34.595869099999753</v>
      </c>
      <c r="T836" s="270">
        <v>3.24</v>
      </c>
      <c r="U836" s="270">
        <v>0.25</v>
      </c>
    </row>
    <row r="837" spans="2:21" ht="17.399999999999999" thickTop="1" thickBot="1">
      <c r="B837" s="103">
        <v>83.099999999999696</v>
      </c>
      <c r="R837" s="343">
        <v>99.474621488999276</v>
      </c>
      <c r="S837" s="343">
        <v>34.679282858999748</v>
      </c>
      <c r="T837" s="270">
        <v>3.25</v>
      </c>
      <c r="U837" s="270">
        <v>0.26</v>
      </c>
    </row>
    <row r="838" spans="2:21" ht="17.399999999999999" thickTop="1" thickBot="1">
      <c r="B838" s="216">
        <v>83.199999999999704</v>
      </c>
      <c r="R838" s="343">
        <v>99.714174975999285</v>
      </c>
      <c r="S838" s="343">
        <v>34.762797055999755</v>
      </c>
      <c r="T838" s="270">
        <v>3.26</v>
      </c>
      <c r="U838" s="270">
        <v>0.26</v>
      </c>
    </row>
    <row r="839" spans="2:21" ht="17.399999999999999" thickTop="1" thickBot="1">
      <c r="B839" s="103">
        <v>83.299999999999699</v>
      </c>
      <c r="R839" s="343">
        <v>99.954016560999264</v>
      </c>
      <c r="S839" s="343">
        <v>34.846411690999744</v>
      </c>
      <c r="T839" s="270">
        <v>3.26</v>
      </c>
      <c r="U839" s="270">
        <v>0.26</v>
      </c>
    </row>
    <row r="840" spans="2:21" ht="17.399999999999999" thickTop="1" thickBot="1">
      <c r="B840" s="216">
        <v>83.399999999999693</v>
      </c>
      <c r="R840" s="343">
        <v>100.19414624399926</v>
      </c>
      <c r="S840" s="343">
        <v>34.930126763999745</v>
      </c>
      <c r="T840" s="270">
        <v>3.27</v>
      </c>
      <c r="U840" s="270">
        <v>0.26</v>
      </c>
    </row>
    <row r="841" spans="2:21" ht="17.399999999999999" thickTop="1" thickBot="1">
      <c r="B841" s="103">
        <v>83.499999999999702</v>
      </c>
      <c r="R841" s="343">
        <v>100.43456402499928</v>
      </c>
      <c r="S841" s="343">
        <v>35.013942274999749</v>
      </c>
      <c r="T841" s="270">
        <v>3.28</v>
      </c>
      <c r="U841" s="270">
        <v>0.26</v>
      </c>
    </row>
    <row r="842" spans="2:21" ht="17.399999999999999" thickTop="1" thickBot="1">
      <c r="B842" s="216">
        <v>83.599999999999696</v>
      </c>
      <c r="R842" s="343">
        <v>100.67526990399926</v>
      </c>
      <c r="S842" s="343">
        <v>35.097858223999744</v>
      </c>
      <c r="T842" s="270">
        <v>3.29</v>
      </c>
      <c r="U842" s="270">
        <v>0.26</v>
      </c>
    </row>
    <row r="843" spans="2:21" ht="17.399999999999999" thickTop="1" thickBot="1">
      <c r="B843" s="103">
        <v>83.699999999999704</v>
      </c>
      <c r="R843" s="343">
        <v>100.91626388099928</v>
      </c>
      <c r="S843" s="343">
        <v>35.181874610999749</v>
      </c>
      <c r="T843" s="270">
        <v>3.3</v>
      </c>
      <c r="U843" s="270">
        <v>0.26</v>
      </c>
    </row>
    <row r="844" spans="2:21" ht="17.399999999999999" thickTop="1" thickBot="1">
      <c r="B844" s="216">
        <v>83.799999999999699</v>
      </c>
      <c r="R844" s="343">
        <v>101.15754595599927</v>
      </c>
      <c r="S844" s="343">
        <v>35.265991435999744</v>
      </c>
      <c r="T844" s="270">
        <v>3.3</v>
      </c>
      <c r="U844" s="270">
        <v>0.26</v>
      </c>
    </row>
    <row r="845" spans="2:21" ht="17.399999999999999" thickTop="1" thickBot="1">
      <c r="B845" s="103">
        <v>83.899999999999693</v>
      </c>
      <c r="R845" s="343">
        <v>101.39911612899925</v>
      </c>
      <c r="S845" s="343">
        <v>35.350208698999744</v>
      </c>
      <c r="T845" s="270">
        <v>3.31</v>
      </c>
      <c r="U845" s="270">
        <v>0.26</v>
      </c>
    </row>
    <row r="846" spans="2:21" ht="17.399999999999999" thickTop="1" thickBot="1">
      <c r="B846" s="216">
        <v>83.999999999999702</v>
      </c>
      <c r="R846" s="343">
        <v>101.64097439999928</v>
      </c>
      <c r="S846" s="343">
        <v>35.434526399999747</v>
      </c>
      <c r="T846" s="270">
        <v>3.32</v>
      </c>
      <c r="U846" s="270">
        <v>0.26</v>
      </c>
    </row>
    <row r="847" spans="2:21" ht="17.399999999999999" thickTop="1" thickBot="1">
      <c r="B847" s="103">
        <v>84.099999999999696</v>
      </c>
      <c r="R847" s="343">
        <v>101.88312076899926</v>
      </c>
      <c r="S847" s="343">
        <v>35.51894453899974</v>
      </c>
      <c r="T847" s="270">
        <v>3.33</v>
      </c>
      <c r="U847" s="270">
        <v>0.26</v>
      </c>
    </row>
    <row r="848" spans="2:21" ht="17.399999999999999" thickTop="1" thickBot="1">
      <c r="B848" s="216">
        <v>84.199999999999704</v>
      </c>
      <c r="R848" s="343">
        <v>102.12555523599929</v>
      </c>
      <c r="S848" s="343">
        <v>35.603463115999752</v>
      </c>
      <c r="T848" s="270">
        <v>3.34</v>
      </c>
      <c r="U848" s="270">
        <v>0.26</v>
      </c>
    </row>
    <row r="849" spans="2:21" ht="17.399999999999999" thickTop="1" thickBot="1">
      <c r="B849" s="103">
        <v>84.299999999999699</v>
      </c>
      <c r="R849" s="343">
        <v>102.36827780099927</v>
      </c>
      <c r="S849" s="343">
        <v>35.688082130999746</v>
      </c>
      <c r="T849" s="270">
        <v>3.34</v>
      </c>
      <c r="U849" s="270">
        <v>0.26</v>
      </c>
    </row>
    <row r="850" spans="2:21" ht="17.399999999999999" thickTop="1" thickBot="1">
      <c r="B850" s="216">
        <v>84.399999999999693</v>
      </c>
      <c r="R850" s="343">
        <v>102.61128846399924</v>
      </c>
      <c r="S850" s="343">
        <v>35.772801583999737</v>
      </c>
      <c r="T850" s="270">
        <v>3.35</v>
      </c>
      <c r="U850" s="270">
        <v>0.26</v>
      </c>
    </row>
    <row r="851" spans="2:21" ht="17.399999999999999" thickTop="1" thickBot="1">
      <c r="B851" s="103">
        <v>84.499999999999702</v>
      </c>
      <c r="R851" s="343">
        <v>102.85458722499928</v>
      </c>
      <c r="S851" s="343">
        <v>35.857621474999753</v>
      </c>
      <c r="T851" s="270">
        <v>3.36</v>
      </c>
      <c r="U851" s="270">
        <v>0.26</v>
      </c>
    </row>
    <row r="852" spans="2:21" ht="17.399999999999999" thickTop="1" thickBot="1">
      <c r="B852" s="216">
        <v>84.599999999999696</v>
      </c>
      <c r="R852" s="343">
        <v>103.09817408399927</v>
      </c>
      <c r="S852" s="343">
        <v>35.942541803999745</v>
      </c>
      <c r="T852" s="270">
        <v>3.37</v>
      </c>
      <c r="U852" s="270">
        <v>0.26</v>
      </c>
    </row>
    <row r="853" spans="2:21" ht="17.399999999999999" thickTop="1" thickBot="1">
      <c r="B853" s="103">
        <v>84.699999999999704</v>
      </c>
      <c r="R853" s="343">
        <v>103.34204904099929</v>
      </c>
      <c r="S853" s="343">
        <v>36.027562570999748</v>
      </c>
      <c r="T853" s="270">
        <v>3.38</v>
      </c>
      <c r="U853" s="270">
        <v>0.27</v>
      </c>
    </row>
    <row r="854" spans="2:21" ht="17.399999999999999" thickTop="1" thickBot="1">
      <c r="B854" s="216">
        <v>84.799999999999699</v>
      </c>
      <c r="R854" s="343">
        <v>103.58621209599927</v>
      </c>
      <c r="S854" s="343">
        <v>36.112683775999749</v>
      </c>
      <c r="T854" s="270">
        <v>3.38</v>
      </c>
      <c r="U854" s="270">
        <v>0.27</v>
      </c>
    </row>
    <row r="855" spans="2:21" ht="17.399999999999999" thickTop="1" thickBot="1">
      <c r="B855" s="103">
        <v>84.899999999999693</v>
      </c>
      <c r="R855" s="343">
        <v>103.83066324899924</v>
      </c>
      <c r="S855" s="343">
        <v>36.197905418999738</v>
      </c>
      <c r="T855" s="270">
        <v>3.39</v>
      </c>
      <c r="U855" s="270">
        <v>0.27</v>
      </c>
    </row>
    <row r="856" spans="2:21" ht="17.399999999999999" thickTop="1" thickBot="1">
      <c r="B856" s="216">
        <v>84.999999999999702</v>
      </c>
      <c r="R856" s="343">
        <v>104.07540249999927</v>
      </c>
      <c r="S856" s="343">
        <v>36.283227499999747</v>
      </c>
      <c r="T856" s="270">
        <v>3.4</v>
      </c>
      <c r="U856" s="270">
        <v>0.27</v>
      </c>
    </row>
    <row r="857" spans="2:21" ht="17.399999999999999" thickTop="1" thickBot="1">
      <c r="B857" s="103">
        <v>85.099999999999696</v>
      </c>
      <c r="R857" s="343">
        <v>104.32042984899925</v>
      </c>
      <c r="S857" s="343">
        <v>36.368650018999745</v>
      </c>
      <c r="T857" s="270">
        <v>3.41</v>
      </c>
      <c r="U857" s="270">
        <v>0.27</v>
      </c>
    </row>
    <row r="858" spans="2:21" ht="17.399999999999999" thickTop="1" thickBot="1">
      <c r="B858" s="216">
        <v>85.199999999999704</v>
      </c>
      <c r="R858" s="343">
        <v>104.56574529599928</v>
      </c>
      <c r="S858" s="343">
        <v>36.454172975999747</v>
      </c>
      <c r="T858" s="270">
        <v>3.42</v>
      </c>
      <c r="U858" s="270">
        <v>0.27</v>
      </c>
    </row>
    <row r="859" spans="2:21" ht="17.399999999999999" thickTop="1" thickBot="1">
      <c r="B859" s="103">
        <v>85.299999999999699</v>
      </c>
      <c r="R859" s="343">
        <v>104.81134884099926</v>
      </c>
      <c r="S859" s="343">
        <v>36.539796370999738</v>
      </c>
      <c r="T859" s="270">
        <v>3.42</v>
      </c>
      <c r="U859" s="270">
        <v>0.27</v>
      </c>
    </row>
    <row r="860" spans="2:21" ht="17.399999999999999" thickTop="1" thickBot="1">
      <c r="B860" s="216">
        <v>85.399999999999693</v>
      </c>
      <c r="R860" s="343">
        <v>105.05724048399925</v>
      </c>
      <c r="S860" s="343">
        <v>36.625520203999741</v>
      </c>
      <c r="T860" s="270">
        <v>3.43</v>
      </c>
      <c r="U860" s="270">
        <v>0.27</v>
      </c>
    </row>
    <row r="861" spans="2:21" ht="17.399999999999999" thickTop="1" thickBot="1">
      <c r="B861" s="103">
        <v>85.499999999999702</v>
      </c>
      <c r="R861" s="343">
        <v>105.30342022499927</v>
      </c>
      <c r="S861" s="343">
        <v>36.711344474999748</v>
      </c>
      <c r="T861" s="270">
        <v>3.44</v>
      </c>
      <c r="U861" s="270">
        <v>0.27</v>
      </c>
    </row>
    <row r="862" spans="2:21" ht="17.399999999999999" thickTop="1" thickBot="1">
      <c r="B862" s="216">
        <v>85.599999999999696</v>
      </c>
      <c r="R862" s="343">
        <v>105.54988806399925</v>
      </c>
      <c r="S862" s="343">
        <v>36.797269183999738</v>
      </c>
      <c r="T862" s="270">
        <v>3.45</v>
      </c>
      <c r="U862" s="270">
        <v>0.27</v>
      </c>
    </row>
    <row r="863" spans="2:21" ht="17.399999999999999" thickTop="1" thickBot="1">
      <c r="B863" s="103">
        <v>85.699999999999704</v>
      </c>
      <c r="R863" s="343">
        <v>105.79664400099928</v>
      </c>
      <c r="S863" s="343">
        <v>36.883294330999746</v>
      </c>
      <c r="T863" s="270">
        <v>3.46</v>
      </c>
      <c r="U863" s="270">
        <v>0.27</v>
      </c>
    </row>
    <row r="864" spans="2:21" ht="17.399999999999999" thickTop="1" thickBot="1">
      <c r="B864" s="216">
        <v>85.799999999999699</v>
      </c>
      <c r="R864" s="343">
        <v>106.04368803599925</v>
      </c>
      <c r="S864" s="343">
        <v>36.969419915999744</v>
      </c>
      <c r="T864" s="270">
        <v>3.46</v>
      </c>
      <c r="U864" s="270">
        <v>0.27</v>
      </c>
    </row>
    <row r="865" spans="2:21" ht="17.399999999999999" thickTop="1" thickBot="1">
      <c r="B865" s="103">
        <v>85.899999999999693</v>
      </c>
      <c r="R865" s="343">
        <v>106.29102016899924</v>
      </c>
      <c r="S865" s="343">
        <v>37.055645938999739</v>
      </c>
      <c r="T865" s="270">
        <v>3.47</v>
      </c>
      <c r="U865" s="270">
        <v>0.27</v>
      </c>
    </row>
    <row r="866" spans="2:21" ht="17.399999999999999" thickTop="1" thickBot="1">
      <c r="B866" s="216">
        <v>85.999999999999702</v>
      </c>
      <c r="R866" s="343">
        <v>106.53864039999927</v>
      </c>
      <c r="S866" s="343">
        <v>37.141972399999744</v>
      </c>
      <c r="T866" s="270">
        <v>3.48</v>
      </c>
      <c r="U866" s="270">
        <v>0.27</v>
      </c>
    </row>
    <row r="867" spans="2:21" ht="17.399999999999999" thickTop="1" thickBot="1">
      <c r="B867" s="103">
        <v>86.099999999999696</v>
      </c>
      <c r="R867" s="343">
        <v>106.78654872899924</v>
      </c>
      <c r="S867" s="343">
        <v>37.228399298999733</v>
      </c>
      <c r="T867" s="270">
        <v>3.49</v>
      </c>
      <c r="U867" s="270">
        <v>0.27</v>
      </c>
    </row>
    <row r="868" spans="2:21" ht="17.399999999999999" thickTop="1" thickBot="1">
      <c r="B868" s="216">
        <v>86.199999999999704</v>
      </c>
      <c r="R868" s="343">
        <v>107.03474515599926</v>
      </c>
      <c r="S868" s="343">
        <v>37.31492663599974</v>
      </c>
      <c r="T868" s="270">
        <v>3.5</v>
      </c>
      <c r="U868" s="270">
        <v>0.27</v>
      </c>
    </row>
    <row r="869" spans="2:21" ht="17.399999999999999" thickTop="1" thickBot="1">
      <c r="B869" s="103">
        <v>86.299999999999699</v>
      </c>
      <c r="R869" s="343">
        <v>107.28322968099924</v>
      </c>
      <c r="S869" s="343">
        <v>37.401554410999736</v>
      </c>
      <c r="T869" s="270">
        <v>3.5</v>
      </c>
      <c r="U869" s="270">
        <v>0.28000000000000003</v>
      </c>
    </row>
    <row r="870" spans="2:21" ht="17.399999999999999" thickTop="1" thickBot="1">
      <c r="B870" s="216">
        <v>86.399999999999693</v>
      </c>
      <c r="R870" s="343">
        <v>107.53200230399923</v>
      </c>
      <c r="S870" s="343">
        <v>37.488282623999737</v>
      </c>
      <c r="T870" s="270">
        <v>3.51</v>
      </c>
      <c r="U870" s="270">
        <v>0.28000000000000003</v>
      </c>
    </row>
    <row r="871" spans="2:21" ht="17.399999999999999" thickTop="1" thickBot="1">
      <c r="B871" s="103">
        <v>86.499999999999702</v>
      </c>
      <c r="R871" s="343">
        <v>107.78106302499926</v>
      </c>
      <c r="S871" s="343">
        <v>37.575111274999742</v>
      </c>
      <c r="T871" s="270">
        <v>3.52</v>
      </c>
      <c r="U871" s="270">
        <v>0.28000000000000003</v>
      </c>
    </row>
    <row r="872" spans="2:21" ht="17.399999999999999" thickTop="1" thickBot="1">
      <c r="B872" s="216">
        <v>86.599999999999696</v>
      </c>
      <c r="R872" s="343">
        <v>108.03041184399925</v>
      </c>
      <c r="S872" s="343">
        <v>37.662040363999736</v>
      </c>
      <c r="T872" s="270">
        <v>3.53</v>
      </c>
      <c r="U872" s="270">
        <v>0.28000000000000003</v>
      </c>
    </row>
    <row r="873" spans="2:21" ht="17.399999999999999" thickTop="1" thickBot="1">
      <c r="B873" s="103">
        <v>86.699999999999704</v>
      </c>
      <c r="R873" s="343">
        <v>108.28004876099926</v>
      </c>
      <c r="S873" s="343">
        <v>37.749069890999742</v>
      </c>
      <c r="T873" s="270">
        <v>3.54</v>
      </c>
      <c r="U873" s="270">
        <v>0.28000000000000003</v>
      </c>
    </row>
    <row r="874" spans="2:21" ht="17.399999999999999" thickTop="1" thickBot="1">
      <c r="B874" s="216">
        <v>86.799999999999699</v>
      </c>
      <c r="R874" s="343">
        <v>108.52997377599925</v>
      </c>
      <c r="S874" s="343">
        <v>37.836199855999737</v>
      </c>
      <c r="T874" s="270">
        <v>3.54</v>
      </c>
      <c r="U874" s="270">
        <v>0.28000000000000003</v>
      </c>
    </row>
    <row r="875" spans="2:21" ht="17.399999999999999" thickTop="1" thickBot="1">
      <c r="B875" s="103">
        <v>86.899999999999693</v>
      </c>
      <c r="R875" s="343">
        <v>108.78018688899924</v>
      </c>
      <c r="S875" s="343">
        <v>37.923430258999737</v>
      </c>
      <c r="T875" s="270">
        <v>3.55</v>
      </c>
      <c r="U875" s="270">
        <v>0.28000000000000003</v>
      </c>
    </row>
    <row r="876" spans="2:21" ht="17.399999999999999" thickTop="1" thickBot="1">
      <c r="B876" s="216">
        <v>86.999999999999702</v>
      </c>
      <c r="R876" s="343">
        <v>109.03068809999925</v>
      </c>
      <c r="S876" s="343">
        <v>38.010761099999741</v>
      </c>
      <c r="T876" s="270">
        <v>3.56</v>
      </c>
      <c r="U876" s="270">
        <v>0.28000000000000003</v>
      </c>
    </row>
    <row r="877" spans="2:21" ht="17.399999999999999" thickTop="1" thickBot="1">
      <c r="B877" s="103">
        <v>87.099999999999696</v>
      </c>
      <c r="R877" s="343">
        <v>109.28147740899924</v>
      </c>
      <c r="S877" s="343">
        <v>38.098192378999734</v>
      </c>
      <c r="T877" s="270">
        <v>3.57</v>
      </c>
      <c r="U877" s="270">
        <v>0.28000000000000003</v>
      </c>
    </row>
    <row r="878" spans="2:21" ht="17.399999999999999" thickTop="1" thickBot="1">
      <c r="B878" s="216">
        <v>87.199999999999704</v>
      </c>
      <c r="R878" s="343">
        <v>109.53255481599926</v>
      </c>
      <c r="S878" s="343">
        <v>38.185724095999738</v>
      </c>
      <c r="T878" s="270">
        <v>3.58</v>
      </c>
      <c r="U878" s="270">
        <v>0.28000000000000003</v>
      </c>
    </row>
    <row r="879" spans="2:21" ht="17.399999999999999" thickTop="1" thickBot="1">
      <c r="B879" s="103">
        <v>87.299999999999699</v>
      </c>
      <c r="R879" s="343">
        <v>109.78392032099924</v>
      </c>
      <c r="S879" s="343">
        <v>38.273356250999733</v>
      </c>
      <c r="T879" s="270">
        <v>3.59</v>
      </c>
      <c r="U879" s="270">
        <v>0.28000000000000003</v>
      </c>
    </row>
    <row r="880" spans="2:21" ht="17.399999999999999" thickTop="1" thickBot="1">
      <c r="B880" s="216">
        <v>87.399999999999693</v>
      </c>
      <c r="R880" s="343">
        <v>110.03557392399922</v>
      </c>
      <c r="S880" s="343">
        <v>38.361088843999731</v>
      </c>
      <c r="T880" s="270">
        <v>3.59</v>
      </c>
      <c r="U880" s="270">
        <v>0.28000000000000003</v>
      </c>
    </row>
    <row r="881" spans="2:21" ht="17.399999999999999" thickTop="1" thickBot="1">
      <c r="B881" s="103">
        <v>87.499999999999702</v>
      </c>
      <c r="R881" s="343">
        <v>110.28751562499926</v>
      </c>
      <c r="S881" s="343">
        <v>38.448921874999741</v>
      </c>
      <c r="T881" s="270">
        <v>3.6</v>
      </c>
      <c r="U881" s="270">
        <v>0.28000000000000003</v>
      </c>
    </row>
    <row r="882" spans="2:21" ht="17.399999999999999" thickTop="1" thickBot="1">
      <c r="B882" s="216">
        <v>87.599999999999696</v>
      </c>
      <c r="R882" s="343">
        <v>110.53974542399924</v>
      </c>
      <c r="S882" s="343">
        <v>38.536855343999733</v>
      </c>
      <c r="T882" s="270">
        <v>3.61</v>
      </c>
      <c r="U882" s="270">
        <v>0.28000000000000003</v>
      </c>
    </row>
    <row r="883" spans="2:21" ht="17.399999999999999" thickTop="1" thickBot="1">
      <c r="B883" s="103">
        <v>87.699999999999704</v>
      </c>
      <c r="R883" s="343">
        <v>110.79226332099925</v>
      </c>
      <c r="S883" s="343">
        <v>38.624889250999743</v>
      </c>
      <c r="T883" s="270">
        <v>3.62</v>
      </c>
      <c r="U883" s="270">
        <v>0.28000000000000003</v>
      </c>
    </row>
    <row r="884" spans="2:21" ht="17.399999999999999" thickTop="1" thickBot="1">
      <c r="B884" s="216">
        <v>87.799999999999699</v>
      </c>
      <c r="R884" s="343">
        <v>111.04506931599924</v>
      </c>
      <c r="S884" s="343">
        <v>38.713023595999736</v>
      </c>
      <c r="T884" s="270">
        <v>3.63</v>
      </c>
      <c r="U884" s="270">
        <v>0.28999999999999998</v>
      </c>
    </row>
    <row r="885" spans="2:21" ht="17.399999999999999" thickTop="1" thickBot="1">
      <c r="B885" s="103">
        <v>87.899999999999693</v>
      </c>
      <c r="R885" s="343">
        <v>111.29816340899923</v>
      </c>
      <c r="S885" s="343">
        <v>38.801258378999734</v>
      </c>
      <c r="T885" s="270">
        <v>3.64</v>
      </c>
      <c r="U885" s="270">
        <v>0.28999999999999998</v>
      </c>
    </row>
    <row r="886" spans="2:21" ht="17.399999999999999" thickTop="1" thickBot="1">
      <c r="B886" s="216">
        <v>87.999999999999702</v>
      </c>
      <c r="R886" s="343">
        <v>111.55154559999924</v>
      </c>
      <c r="S886" s="343">
        <v>38.889593599999735</v>
      </c>
      <c r="T886" s="270">
        <v>3.64</v>
      </c>
      <c r="U886" s="270">
        <v>0.28999999999999998</v>
      </c>
    </row>
    <row r="887" spans="2:21" ht="17.399999999999999" thickTop="1" thickBot="1">
      <c r="B887" s="103">
        <v>88.099999999999696</v>
      </c>
      <c r="R887" s="343">
        <v>111.80521588899923</v>
      </c>
      <c r="S887" s="343">
        <v>38.978029258999733</v>
      </c>
      <c r="T887" s="270">
        <v>3.65</v>
      </c>
      <c r="U887" s="270">
        <v>0.28999999999999998</v>
      </c>
    </row>
    <row r="888" spans="2:21" ht="17.399999999999999" thickTop="1" thickBot="1">
      <c r="B888" s="216">
        <v>88.199999999999704</v>
      </c>
      <c r="R888" s="343">
        <v>112.05917427599925</v>
      </c>
      <c r="S888" s="343">
        <v>39.066565355999742</v>
      </c>
      <c r="T888" s="270">
        <v>3.66</v>
      </c>
      <c r="U888" s="270">
        <v>0.28999999999999998</v>
      </c>
    </row>
    <row r="889" spans="2:21" ht="17.399999999999999" thickTop="1" thickBot="1">
      <c r="B889" s="103">
        <v>88.299999999999699</v>
      </c>
      <c r="R889" s="343">
        <v>112.31342076099924</v>
      </c>
      <c r="S889" s="343">
        <v>39.155201890999734</v>
      </c>
      <c r="T889" s="270">
        <v>3.67</v>
      </c>
      <c r="U889" s="270">
        <v>0.28999999999999998</v>
      </c>
    </row>
    <row r="890" spans="2:21" ht="17.399999999999999" thickTop="1" thickBot="1">
      <c r="B890" s="216">
        <v>88.399999999999693</v>
      </c>
      <c r="R890" s="343">
        <v>112.56795534399922</v>
      </c>
      <c r="S890" s="343">
        <v>39.24393886399973</v>
      </c>
      <c r="T890" s="270">
        <v>3.68</v>
      </c>
      <c r="U890" s="270">
        <v>0.28999999999999998</v>
      </c>
    </row>
    <row r="891" spans="2:21" ht="17.399999999999999" thickTop="1" thickBot="1">
      <c r="B891" s="103">
        <v>88.499999999999702</v>
      </c>
      <c r="R891" s="343">
        <v>112.82277802499924</v>
      </c>
      <c r="S891" s="343">
        <v>39.332776274999738</v>
      </c>
      <c r="T891" s="270">
        <v>3.68</v>
      </c>
      <c r="U891" s="270">
        <v>0.28999999999999998</v>
      </c>
    </row>
    <row r="892" spans="2:21" ht="17.399999999999999" thickTop="1" thickBot="1">
      <c r="B892" s="216">
        <v>88.599999999999696</v>
      </c>
      <c r="R892" s="343">
        <v>113.07788880399923</v>
      </c>
      <c r="S892" s="343">
        <v>39.421714123999735</v>
      </c>
      <c r="T892" s="270">
        <v>3.69</v>
      </c>
      <c r="U892" s="270">
        <v>0.28999999999999998</v>
      </c>
    </row>
    <row r="893" spans="2:21" ht="17.399999999999999" thickTop="1" thickBot="1">
      <c r="B893" s="103">
        <v>88.699999999999704</v>
      </c>
      <c r="R893" s="343">
        <v>113.33328768099925</v>
      </c>
      <c r="S893" s="343">
        <v>39.510752410999736</v>
      </c>
      <c r="T893" s="270">
        <v>3.7</v>
      </c>
      <c r="U893" s="270">
        <v>0.28999999999999998</v>
      </c>
    </row>
    <row r="894" spans="2:21" ht="17.399999999999999" thickTop="1" thickBot="1">
      <c r="B894" s="216">
        <v>88.799999999999699</v>
      </c>
      <c r="R894" s="343">
        <v>113.58897465599924</v>
      </c>
      <c r="S894" s="343">
        <v>39.599891135999734</v>
      </c>
      <c r="T894" s="270">
        <v>3.71</v>
      </c>
      <c r="U894" s="270">
        <v>0.28999999999999998</v>
      </c>
    </row>
    <row r="895" spans="2:21" ht="17.399999999999999" thickTop="1" thickBot="1">
      <c r="B895" s="103">
        <v>88.899999999999693</v>
      </c>
      <c r="R895" s="343">
        <v>113.84494972899921</v>
      </c>
      <c r="S895" s="343">
        <v>39.689130298999729</v>
      </c>
      <c r="T895" s="270">
        <v>3.72</v>
      </c>
      <c r="U895" s="270">
        <v>0.28999999999999998</v>
      </c>
    </row>
    <row r="896" spans="2:21" ht="17.399999999999999" thickTop="1" thickBot="1">
      <c r="B896" s="216">
        <v>88.999999999999702</v>
      </c>
      <c r="R896" s="343">
        <v>114.10121289999924</v>
      </c>
      <c r="S896" s="343">
        <v>39.778469899999735</v>
      </c>
      <c r="T896" s="270">
        <v>3.73</v>
      </c>
      <c r="U896" s="270">
        <v>0.28999999999999998</v>
      </c>
    </row>
    <row r="897" spans="2:21" ht="17.399999999999999" thickTop="1" thickBot="1">
      <c r="B897" s="103">
        <v>89.099999999999696</v>
      </c>
      <c r="R897" s="343">
        <v>114.35776416899922</v>
      </c>
      <c r="S897" s="343">
        <v>39.86790993899973</v>
      </c>
      <c r="T897" s="270">
        <v>3.73</v>
      </c>
      <c r="U897" s="270">
        <v>0.28999999999999998</v>
      </c>
    </row>
    <row r="898" spans="2:21" ht="17.399999999999999" thickTop="1" thickBot="1">
      <c r="B898" s="216">
        <v>89.199999999999704</v>
      </c>
      <c r="R898" s="343">
        <v>114.61460353599925</v>
      </c>
      <c r="S898" s="343">
        <v>39.957450415999737</v>
      </c>
      <c r="T898" s="270">
        <v>3.74</v>
      </c>
      <c r="U898" s="270">
        <v>0.28999999999999998</v>
      </c>
    </row>
    <row r="899" spans="2:21" ht="17.399999999999999" thickTop="1" thickBot="1">
      <c r="B899" s="103">
        <v>89.299999999999699</v>
      </c>
      <c r="R899" s="343">
        <v>114.87173100099922</v>
      </c>
      <c r="S899" s="343">
        <v>40.047091330999727</v>
      </c>
      <c r="T899" s="270">
        <v>3.75</v>
      </c>
      <c r="U899" s="270">
        <v>0.3</v>
      </c>
    </row>
    <row r="900" spans="2:21" ht="17.399999999999999" thickTop="1" thickBot="1">
      <c r="B900" s="216">
        <v>89.399999999999693</v>
      </c>
      <c r="R900" s="343">
        <v>115.12914656399921</v>
      </c>
      <c r="S900" s="343">
        <v>40.136832683999728</v>
      </c>
      <c r="T900" s="270">
        <v>3.76</v>
      </c>
      <c r="U900" s="270">
        <v>0.3</v>
      </c>
    </row>
    <row r="901" spans="2:21" ht="17.399999999999999" thickTop="1" thickBot="1">
      <c r="B901" s="103">
        <v>89.499999999999702</v>
      </c>
      <c r="R901" s="343">
        <v>115.38685022499922</v>
      </c>
      <c r="S901" s="343">
        <v>40.226674474999733</v>
      </c>
      <c r="T901" s="270">
        <v>3.77</v>
      </c>
      <c r="U901" s="270">
        <v>0.3</v>
      </c>
    </row>
    <row r="902" spans="2:21" ht="17.399999999999999" thickTop="1" thickBot="1">
      <c r="B902" s="216">
        <v>89.599999999999696</v>
      </c>
      <c r="R902" s="343">
        <v>115.64484198399921</v>
      </c>
      <c r="S902" s="343">
        <v>40.316616703999728</v>
      </c>
      <c r="T902" s="270">
        <v>3.78</v>
      </c>
      <c r="U902" s="270">
        <v>0.3</v>
      </c>
    </row>
    <row r="903" spans="2:21" ht="17.399999999999999" thickTop="1" thickBot="1">
      <c r="B903" s="103">
        <v>89.699999999999704</v>
      </c>
      <c r="R903" s="343">
        <v>115.90312184099925</v>
      </c>
      <c r="S903" s="343">
        <v>40.406659370999733</v>
      </c>
      <c r="T903" s="270">
        <v>3.79</v>
      </c>
      <c r="U903" s="270">
        <v>0.3</v>
      </c>
    </row>
    <row r="904" spans="2:21" ht="17.399999999999999" thickTop="1" thickBot="1">
      <c r="B904" s="216">
        <v>89.799999999999699</v>
      </c>
      <c r="R904" s="343">
        <v>116.16168979599922</v>
      </c>
      <c r="S904" s="343">
        <v>40.496802475999729</v>
      </c>
      <c r="T904" s="270">
        <v>3.79</v>
      </c>
      <c r="U904" s="270">
        <v>0.3</v>
      </c>
    </row>
    <row r="905" spans="2:21" ht="17.399999999999999" thickTop="1" thickBot="1">
      <c r="B905" s="103">
        <v>89.899999999999693</v>
      </c>
      <c r="R905" s="343">
        <v>116.4205458489992</v>
      </c>
      <c r="S905" s="343">
        <v>40.587046018999722</v>
      </c>
      <c r="T905" s="270">
        <v>3.8</v>
      </c>
      <c r="U905" s="270">
        <v>0.3</v>
      </c>
    </row>
    <row r="906" spans="2:21" ht="17.399999999999999" thickTop="1" thickBot="1">
      <c r="B906" s="216">
        <v>89.999999999999702</v>
      </c>
      <c r="R906" s="343">
        <v>116.67968999999923</v>
      </c>
      <c r="S906" s="343">
        <v>40.677389999999733</v>
      </c>
      <c r="T906" s="270">
        <v>3.81</v>
      </c>
      <c r="U906" s="270">
        <v>0.3</v>
      </c>
    </row>
    <row r="907" spans="2:21" ht="17.399999999999999" thickTop="1" thickBot="1">
      <c r="B907" s="103">
        <v>90.099999999999696</v>
      </c>
      <c r="R907" s="343">
        <v>116.93912224899921</v>
      </c>
      <c r="S907" s="343">
        <v>40.767834418999726</v>
      </c>
      <c r="T907" s="270">
        <v>3.82</v>
      </c>
      <c r="U907" s="270">
        <v>0.3</v>
      </c>
    </row>
    <row r="908" spans="2:21" ht="17.399999999999999" thickTop="1" thickBot="1">
      <c r="B908" s="216">
        <v>90.199999999999704</v>
      </c>
      <c r="R908" s="343">
        <v>117.19884259599922</v>
      </c>
      <c r="S908" s="343">
        <v>40.858379275999731</v>
      </c>
      <c r="T908" s="270">
        <v>3.83</v>
      </c>
      <c r="U908" s="270">
        <v>0.3</v>
      </c>
    </row>
    <row r="909" spans="2:21" ht="17.399999999999999" thickTop="1" thickBot="1">
      <c r="B909" s="103">
        <v>90.299999999999699</v>
      </c>
      <c r="R909" s="343">
        <v>117.45885104099922</v>
      </c>
      <c r="S909" s="343">
        <v>40.949024570999725</v>
      </c>
      <c r="T909" s="270">
        <v>3.84</v>
      </c>
      <c r="U909" s="270">
        <v>0.3</v>
      </c>
    </row>
    <row r="910" spans="2:21" ht="17.399999999999999" thickTop="1" thickBot="1">
      <c r="B910" s="216">
        <v>90.399999999999693</v>
      </c>
      <c r="R910" s="343">
        <v>117.7191475839992</v>
      </c>
      <c r="S910" s="343">
        <v>41.039770303999724</v>
      </c>
      <c r="T910" s="270">
        <v>3.84</v>
      </c>
      <c r="U910" s="270">
        <v>0.3</v>
      </c>
    </row>
    <row r="911" spans="2:21" ht="17.399999999999999" thickTop="1" thickBot="1">
      <c r="B911" s="103">
        <v>90.499999999999702</v>
      </c>
      <c r="R911" s="343">
        <v>117.97973222499922</v>
      </c>
      <c r="S911" s="343">
        <v>41.130616474999734</v>
      </c>
      <c r="T911" s="270">
        <v>3.85</v>
      </c>
      <c r="U911" s="270">
        <v>0.3</v>
      </c>
    </row>
    <row r="912" spans="2:21" ht="17.399999999999999" thickTop="1" thickBot="1">
      <c r="B912" s="216">
        <v>90.599999999999696</v>
      </c>
      <c r="R912" s="343">
        <v>118.24060496399919</v>
      </c>
      <c r="S912" s="343">
        <v>41.221563083999719</v>
      </c>
      <c r="T912" s="270">
        <v>3.86</v>
      </c>
      <c r="U912" s="270">
        <v>0.3</v>
      </c>
    </row>
    <row r="913" spans="2:21" ht="17.399999999999999" thickTop="1" thickBot="1">
      <c r="B913" s="103">
        <v>90.699999999999704</v>
      </c>
      <c r="R913" s="343">
        <v>118.50176580099924</v>
      </c>
      <c r="S913" s="343">
        <v>41.312610130999737</v>
      </c>
      <c r="T913" s="270">
        <v>3.87</v>
      </c>
      <c r="U913" s="270">
        <v>0.3</v>
      </c>
    </row>
    <row r="914" spans="2:21" ht="17.399999999999999" thickTop="1" thickBot="1">
      <c r="B914" s="216">
        <v>90.799999999999699</v>
      </c>
      <c r="R914" s="343">
        <v>118.7632147359992</v>
      </c>
      <c r="S914" s="343">
        <v>41.403757615999723</v>
      </c>
      <c r="T914" s="270">
        <v>3.88</v>
      </c>
      <c r="U914" s="270">
        <v>0.31</v>
      </c>
    </row>
    <row r="915" spans="2:21" ht="17.399999999999999" thickTop="1" thickBot="1">
      <c r="B915" s="103">
        <v>90.899999999999693</v>
      </c>
      <c r="R915" s="343">
        <v>119.0249517689992</v>
      </c>
      <c r="S915" s="343">
        <v>41.495005538999727</v>
      </c>
      <c r="T915" s="270">
        <v>3.89</v>
      </c>
      <c r="U915" s="270">
        <v>0.31</v>
      </c>
    </row>
    <row r="916" spans="2:21" ht="17.399999999999999" thickTop="1" thickBot="1">
      <c r="B916" s="216">
        <v>90.999999999999702</v>
      </c>
      <c r="R916" s="343">
        <v>119.28697689999922</v>
      </c>
      <c r="S916" s="343">
        <v>41.586353899999729</v>
      </c>
      <c r="T916" s="270">
        <v>3.9</v>
      </c>
      <c r="U916" s="270">
        <v>0.31</v>
      </c>
    </row>
    <row r="917" spans="2:21" ht="17.399999999999999" thickTop="1" thickBot="1">
      <c r="B917" s="103">
        <v>91.099999999999696</v>
      </c>
      <c r="R917" s="343">
        <v>119.5492901289992</v>
      </c>
      <c r="S917" s="343">
        <v>41.67780269899972</v>
      </c>
      <c r="T917" s="270">
        <v>3.9</v>
      </c>
      <c r="U917" s="270">
        <v>0.31</v>
      </c>
    </row>
    <row r="918" spans="2:21" ht="17.399999999999999" thickTop="1" thickBot="1">
      <c r="B918" s="216">
        <v>91.199999999999704</v>
      </c>
      <c r="R918" s="343">
        <v>119.81189145599922</v>
      </c>
      <c r="S918" s="343">
        <v>41.76935193599973</v>
      </c>
      <c r="T918" s="270">
        <v>3.91</v>
      </c>
      <c r="U918" s="270">
        <v>0.31</v>
      </c>
    </row>
    <row r="919" spans="2:21" ht="17.399999999999999" thickTop="1" thickBot="1">
      <c r="B919" s="103">
        <v>91.299999999999699</v>
      </c>
      <c r="R919" s="343">
        <v>120.0747808809992</v>
      </c>
      <c r="S919" s="343">
        <v>41.861001610999722</v>
      </c>
      <c r="T919" s="270">
        <v>3.92</v>
      </c>
      <c r="U919" s="270">
        <v>0.31</v>
      </c>
    </row>
    <row r="920" spans="2:21" ht="17.399999999999999" thickTop="1" thickBot="1">
      <c r="B920" s="216">
        <v>91.399999999999693</v>
      </c>
      <c r="R920" s="343">
        <v>120.3379584039992</v>
      </c>
      <c r="S920" s="343">
        <v>41.952751723999725</v>
      </c>
      <c r="T920" s="270">
        <v>3.93</v>
      </c>
      <c r="U920" s="270">
        <v>0.31</v>
      </c>
    </row>
    <row r="921" spans="2:21" ht="17.399999999999999" thickTop="1" thickBot="1">
      <c r="B921" s="103">
        <v>91.499999999999702</v>
      </c>
      <c r="R921" s="343">
        <v>120.60142402499922</v>
      </c>
      <c r="S921" s="343">
        <v>42.044602274999725</v>
      </c>
      <c r="T921" s="270">
        <v>3.94</v>
      </c>
      <c r="U921" s="270">
        <v>0.31</v>
      </c>
    </row>
    <row r="922" spans="2:21" ht="17.399999999999999" thickTop="1" thickBot="1">
      <c r="B922" s="216">
        <v>91.599999999999696</v>
      </c>
      <c r="R922" s="343">
        <v>120.86517774399921</v>
      </c>
      <c r="S922" s="343">
        <v>42.136553263999723</v>
      </c>
      <c r="T922" s="270">
        <v>3.95</v>
      </c>
      <c r="U922" s="270">
        <v>0.31</v>
      </c>
    </row>
    <row r="923" spans="2:21" ht="17.399999999999999" thickTop="1" thickBot="1">
      <c r="B923" s="103">
        <v>91.699999999999704</v>
      </c>
      <c r="R923" s="343">
        <v>121.12921956099923</v>
      </c>
      <c r="S923" s="343">
        <v>42.228604690999731</v>
      </c>
      <c r="T923" s="270">
        <v>3.96</v>
      </c>
      <c r="U923" s="270">
        <v>0.31</v>
      </c>
    </row>
    <row r="924" spans="2:21" ht="17.399999999999999" thickTop="1" thickBot="1">
      <c r="B924" s="216">
        <v>91.799999999999699</v>
      </c>
      <c r="R924" s="343">
        <v>121.39354947599921</v>
      </c>
      <c r="S924" s="343">
        <v>42.320756555999729</v>
      </c>
      <c r="T924" s="270">
        <v>3.96</v>
      </c>
      <c r="U924" s="270">
        <v>0.31</v>
      </c>
    </row>
    <row r="925" spans="2:21" ht="17.399999999999999" thickTop="1" thickBot="1">
      <c r="B925" s="103">
        <v>91.899999999999693</v>
      </c>
      <c r="R925" s="343">
        <v>121.6581674889992</v>
      </c>
      <c r="S925" s="343">
        <v>42.413008858999724</v>
      </c>
      <c r="T925" s="270">
        <v>3.97</v>
      </c>
      <c r="U925" s="270">
        <v>0.31</v>
      </c>
    </row>
    <row r="926" spans="2:21" ht="17.399999999999999" thickTop="1" thickBot="1">
      <c r="B926" s="216">
        <v>91.999999999999702</v>
      </c>
      <c r="R926" s="343">
        <v>121.92307359999921</v>
      </c>
      <c r="S926" s="343">
        <v>42.505361599999731</v>
      </c>
      <c r="T926" s="270">
        <v>3.98</v>
      </c>
      <c r="U926" s="270">
        <v>0.31</v>
      </c>
    </row>
    <row r="927" spans="2:21" ht="17.399999999999999" thickTop="1" thickBot="1">
      <c r="B927" s="103">
        <v>92.099999999999696</v>
      </c>
      <c r="R927" s="343">
        <v>122.18826780899919</v>
      </c>
      <c r="S927" s="343">
        <v>42.597814778999719</v>
      </c>
      <c r="T927" s="270">
        <v>3.99</v>
      </c>
      <c r="U927" s="270">
        <v>0.31</v>
      </c>
    </row>
    <row r="928" spans="2:21" ht="17.399999999999999" thickTop="1" thickBot="1">
      <c r="B928" s="216">
        <v>92.199999999999704</v>
      </c>
      <c r="R928" s="343">
        <v>122.45375011599921</v>
      </c>
      <c r="S928" s="343">
        <v>42.690368395999727</v>
      </c>
      <c r="T928" s="270">
        <v>4</v>
      </c>
      <c r="U928" s="270">
        <v>0.31</v>
      </c>
    </row>
    <row r="929" spans="2:21" ht="17.399999999999999" thickTop="1" thickBot="1">
      <c r="B929" s="103">
        <v>92.299999999999699</v>
      </c>
      <c r="R929" s="343">
        <v>122.7195205209992</v>
      </c>
      <c r="S929" s="343">
        <v>42.783022450999724</v>
      </c>
      <c r="T929" s="270">
        <v>4.01</v>
      </c>
      <c r="U929" s="270">
        <v>0.32</v>
      </c>
    </row>
    <row r="930" spans="2:21" ht="17.399999999999999" thickTop="1" thickBot="1">
      <c r="B930" s="216">
        <v>92.399999999999693</v>
      </c>
      <c r="R930" s="343">
        <v>122.98557902399919</v>
      </c>
      <c r="S930" s="343">
        <v>42.875776943999718</v>
      </c>
      <c r="T930" s="270">
        <v>4.0199999999999996</v>
      </c>
      <c r="U930" s="270">
        <v>0.32</v>
      </c>
    </row>
    <row r="931" spans="2:21" ht="17.399999999999999" thickTop="1" thickBot="1">
      <c r="B931" s="103">
        <v>92.499999999999702</v>
      </c>
      <c r="R931" s="343">
        <v>123.25192562499922</v>
      </c>
      <c r="S931" s="343">
        <v>42.96863187499973</v>
      </c>
      <c r="T931" s="270">
        <v>4.03</v>
      </c>
      <c r="U931" s="270">
        <v>0.32</v>
      </c>
    </row>
    <row r="932" spans="2:21" ht="17.399999999999999" thickTop="1" thickBot="1">
      <c r="B932" s="216">
        <v>92.599999999999696</v>
      </c>
      <c r="R932" s="343">
        <v>123.5185603239992</v>
      </c>
      <c r="S932" s="343">
        <v>43.061587243999718</v>
      </c>
      <c r="T932" s="270">
        <v>4.03</v>
      </c>
      <c r="U932" s="270">
        <v>0.32</v>
      </c>
    </row>
    <row r="933" spans="2:21" ht="17.399999999999999" thickTop="1" thickBot="1">
      <c r="B933" s="103">
        <v>92.699999999999704</v>
      </c>
      <c r="R933" s="343">
        <v>123.7854831209992</v>
      </c>
      <c r="S933" s="343">
        <v>43.154643050999724</v>
      </c>
      <c r="T933" s="270">
        <v>4.04</v>
      </c>
      <c r="U933" s="270">
        <v>0.32</v>
      </c>
    </row>
    <row r="934" spans="2:21" ht="17.399999999999999" thickTop="1" thickBot="1">
      <c r="B934" s="216">
        <v>92.799999999999699</v>
      </c>
      <c r="R934" s="343">
        <v>124.05269401599919</v>
      </c>
      <c r="S934" s="343">
        <v>43.24779929599972</v>
      </c>
      <c r="T934" s="270">
        <v>4.05</v>
      </c>
      <c r="U934" s="270">
        <v>0.32</v>
      </c>
    </row>
    <row r="935" spans="2:21" ht="17.399999999999999" thickTop="1" thickBot="1">
      <c r="B935" s="103">
        <v>92.899999999999693</v>
      </c>
      <c r="R935" s="343">
        <v>124.32019300899918</v>
      </c>
      <c r="S935" s="343">
        <v>43.341055978999719</v>
      </c>
      <c r="T935" s="270">
        <v>4.0599999999999996</v>
      </c>
      <c r="U935" s="270">
        <v>0.32</v>
      </c>
    </row>
    <row r="936" spans="2:21" ht="17.399999999999999" thickTop="1" thickBot="1">
      <c r="B936" s="216">
        <v>92.999999999999702</v>
      </c>
      <c r="R936" s="343">
        <v>124.58798009999919</v>
      </c>
      <c r="S936" s="343">
        <v>43.434413099999716</v>
      </c>
      <c r="T936" s="270">
        <v>4.07</v>
      </c>
      <c r="U936" s="270">
        <v>0.32</v>
      </c>
    </row>
    <row r="937" spans="2:21" ht="17.399999999999999" thickTop="1" thickBot="1">
      <c r="B937" s="103">
        <v>93.099999999999696</v>
      </c>
      <c r="R937" s="343">
        <v>124.8560552889992</v>
      </c>
      <c r="S937" s="343">
        <v>43.527870658999724</v>
      </c>
      <c r="T937" s="270">
        <v>4.08</v>
      </c>
      <c r="U937" s="270">
        <v>0.32</v>
      </c>
    </row>
    <row r="938" spans="2:21" ht="17.399999999999999" thickTop="1" thickBot="1">
      <c r="B938" s="216">
        <v>93.199999999999704</v>
      </c>
      <c r="R938" s="343">
        <v>125.12441857599921</v>
      </c>
      <c r="S938" s="343">
        <v>43.621428655999729</v>
      </c>
      <c r="T938" s="270">
        <v>4.09</v>
      </c>
      <c r="U938" s="270">
        <v>0.32</v>
      </c>
    </row>
    <row r="939" spans="2:21" ht="17.399999999999999" thickTop="1" thickBot="1">
      <c r="B939" s="103">
        <v>93.299999999999699</v>
      </c>
      <c r="R939" s="343">
        <v>125.39306996099918</v>
      </c>
      <c r="S939" s="343">
        <v>43.715087090999717</v>
      </c>
      <c r="T939" s="270">
        <v>4.0999999999999996</v>
      </c>
      <c r="U939" s="270">
        <v>0.32</v>
      </c>
    </row>
    <row r="940" spans="2:21" ht="17.399999999999999" thickTop="1" thickBot="1">
      <c r="B940" s="216">
        <v>93.399999999999693</v>
      </c>
      <c r="R940" s="343">
        <v>125.66200944399918</v>
      </c>
      <c r="S940" s="343">
        <v>43.808845963999715</v>
      </c>
      <c r="T940" s="270">
        <v>4.0999999999999996</v>
      </c>
      <c r="U940" s="270">
        <v>0.32</v>
      </c>
    </row>
    <row r="941" spans="2:21" ht="17.399999999999999" thickTop="1" thickBot="1">
      <c r="B941" s="103">
        <v>93.499999999999702</v>
      </c>
      <c r="R941" s="343">
        <v>125.93123702499919</v>
      </c>
      <c r="S941" s="343">
        <v>43.902705274999718</v>
      </c>
      <c r="T941" s="270">
        <v>4.1100000000000003</v>
      </c>
      <c r="U941" s="270">
        <v>0.32</v>
      </c>
    </row>
    <row r="942" spans="2:21" ht="17.399999999999999" thickTop="1" thickBot="1">
      <c r="B942" s="216">
        <v>93.599999999999696</v>
      </c>
      <c r="R942" s="343">
        <v>126.20075270399917</v>
      </c>
      <c r="S942" s="343">
        <v>43.996665023999711</v>
      </c>
      <c r="T942" s="270">
        <v>4.12</v>
      </c>
      <c r="U942" s="270">
        <v>0.32</v>
      </c>
    </row>
    <row r="943" spans="2:21" ht="17.399999999999999" thickTop="1" thickBot="1">
      <c r="B943" s="103">
        <v>93.699999999999704</v>
      </c>
      <c r="R943" s="343">
        <v>126.47055648099919</v>
      </c>
      <c r="S943" s="343">
        <v>44.090725210999722</v>
      </c>
      <c r="T943" s="270">
        <v>4.13</v>
      </c>
      <c r="U943" s="270">
        <v>0.32</v>
      </c>
    </row>
    <row r="944" spans="2:21" ht="17.399999999999999" thickTop="1" thickBot="1">
      <c r="B944" s="216">
        <v>93.799999999999699</v>
      </c>
      <c r="R944" s="343">
        <v>126.7406483559992</v>
      </c>
      <c r="S944" s="343">
        <v>44.184885835999722</v>
      </c>
      <c r="T944" s="270">
        <v>4.1399999999999997</v>
      </c>
      <c r="U944" s="270">
        <v>0.33</v>
      </c>
    </row>
    <row r="945" spans="2:21" ht="17.399999999999999" thickTop="1" thickBot="1">
      <c r="B945" s="103">
        <v>93.899999999999693</v>
      </c>
      <c r="R945" s="343">
        <v>127.01102832899917</v>
      </c>
      <c r="S945" s="343">
        <v>44.279146898999713</v>
      </c>
      <c r="T945" s="270">
        <v>4.1500000000000004</v>
      </c>
      <c r="U945" s="270">
        <v>0.33</v>
      </c>
    </row>
    <row r="946" spans="2:21" ht="17.399999999999999" thickTop="1" thickBot="1">
      <c r="B946" s="216">
        <v>93.999999999999702</v>
      </c>
      <c r="R946" s="343">
        <v>127.28169639999919</v>
      </c>
      <c r="S946" s="343">
        <v>44.373508399999722</v>
      </c>
      <c r="T946" s="270">
        <v>4.16</v>
      </c>
      <c r="U946" s="270">
        <v>0.33</v>
      </c>
    </row>
    <row r="947" spans="2:21" ht="17.399999999999999" thickTop="1" thickBot="1">
      <c r="B947" s="103">
        <v>94.099999999999696</v>
      </c>
      <c r="R947" s="343">
        <v>127.55265256899918</v>
      </c>
      <c r="S947" s="343">
        <v>44.467970338999713</v>
      </c>
      <c r="T947" s="270">
        <v>4.17</v>
      </c>
      <c r="U947" s="270">
        <v>0.33</v>
      </c>
    </row>
    <row r="948" spans="2:21" ht="17.399999999999999" thickTop="1" thickBot="1">
      <c r="B948" s="216">
        <v>94.199999999999704</v>
      </c>
      <c r="R948" s="343">
        <v>127.82389683599921</v>
      </c>
      <c r="S948" s="343">
        <v>44.562532715999723</v>
      </c>
      <c r="T948" s="270">
        <v>4.17</v>
      </c>
      <c r="U948" s="270">
        <v>0.33</v>
      </c>
    </row>
    <row r="949" spans="2:21" ht="17.399999999999999" thickTop="1" thickBot="1">
      <c r="B949" s="103">
        <v>94.299999999999699</v>
      </c>
      <c r="R949" s="343">
        <v>128.09542920099918</v>
      </c>
      <c r="S949" s="343">
        <v>44.657195530999715</v>
      </c>
      <c r="T949" s="270">
        <v>4.18</v>
      </c>
      <c r="U949" s="270">
        <v>0.33</v>
      </c>
    </row>
    <row r="950" spans="2:21" ht="17.399999999999999" thickTop="1" thickBot="1">
      <c r="B950" s="216">
        <v>94.399999999999693</v>
      </c>
      <c r="R950" s="343">
        <v>128.36724966399916</v>
      </c>
      <c r="S950" s="343">
        <v>44.751958783999711</v>
      </c>
      <c r="T950" s="270">
        <v>4.1900000000000004</v>
      </c>
      <c r="U950" s="270">
        <v>0.33</v>
      </c>
    </row>
    <row r="951" spans="2:21" ht="17.399999999999999" thickTop="1" thickBot="1">
      <c r="B951" s="103">
        <v>94.499999999999702</v>
      </c>
      <c r="R951" s="343">
        <v>128.6393582249992</v>
      </c>
      <c r="S951" s="343">
        <v>44.846822474999719</v>
      </c>
      <c r="T951" s="270">
        <v>4.2</v>
      </c>
      <c r="U951" s="270">
        <v>0.33</v>
      </c>
    </row>
    <row r="952" spans="2:21" ht="17.399999999999999" thickTop="1" thickBot="1">
      <c r="B952" s="216">
        <v>94.599999999999696</v>
      </c>
      <c r="R952" s="343">
        <v>128.91175488399915</v>
      </c>
      <c r="S952" s="343">
        <v>44.941786603999709</v>
      </c>
      <c r="T952" s="270">
        <v>4.21</v>
      </c>
      <c r="U952" s="270">
        <v>0.33</v>
      </c>
    </row>
    <row r="953" spans="2:21" ht="17.399999999999999" thickTop="1" thickBot="1">
      <c r="B953" s="103">
        <v>94.699999999999704</v>
      </c>
      <c r="R953" s="343">
        <v>129.18443964099919</v>
      </c>
      <c r="S953" s="343">
        <v>45.036851170999718</v>
      </c>
      <c r="T953" s="270">
        <v>4.22</v>
      </c>
      <c r="U953" s="270">
        <v>0.33</v>
      </c>
    </row>
    <row r="954" spans="2:21" ht="17.399999999999999" thickTop="1" thickBot="1">
      <c r="B954" s="216">
        <v>94.799999999999699</v>
      </c>
      <c r="R954" s="343">
        <v>129.45741249599917</v>
      </c>
      <c r="S954" s="343">
        <v>45.132016175999716</v>
      </c>
      <c r="T954" s="270">
        <v>4.2300000000000004</v>
      </c>
      <c r="U954" s="270">
        <v>0.33</v>
      </c>
    </row>
    <row r="955" spans="2:21" ht="17.399999999999999" thickTop="1" thickBot="1">
      <c r="B955" s="103">
        <v>94.899999999999693</v>
      </c>
      <c r="R955" s="343">
        <v>129.73067344899917</v>
      </c>
      <c r="S955" s="343">
        <v>45.227281618999712</v>
      </c>
      <c r="T955" s="270">
        <v>4.24</v>
      </c>
      <c r="U955" s="270">
        <v>0.33</v>
      </c>
    </row>
    <row r="956" spans="2:21" ht="17.399999999999999" thickTop="1" thickBot="1">
      <c r="B956" s="216">
        <v>94.999999999999702</v>
      </c>
      <c r="R956" s="343">
        <v>130.0042224999992</v>
      </c>
      <c r="S956" s="343">
        <v>45.322647499999718</v>
      </c>
      <c r="T956" s="270">
        <v>4.25</v>
      </c>
      <c r="U956" s="270">
        <v>0.33</v>
      </c>
    </row>
    <row r="957" spans="2:21" ht="17.399999999999999" thickTop="1" thickBot="1">
      <c r="B957" s="103">
        <v>95.099999999999696</v>
      </c>
      <c r="R957" s="343">
        <v>130.27805964899918</v>
      </c>
      <c r="S957" s="343">
        <v>45.418113818999707</v>
      </c>
      <c r="T957" s="270">
        <v>4.25</v>
      </c>
      <c r="U957" s="270">
        <v>0.33</v>
      </c>
    </row>
    <row r="958" spans="2:21" ht="17.399999999999999" thickTop="1" thickBot="1">
      <c r="B958" s="216">
        <v>95.199999999999704</v>
      </c>
      <c r="R958" s="343">
        <v>130.5521848959992</v>
      </c>
      <c r="S958" s="343">
        <v>45.513680575999722</v>
      </c>
      <c r="T958" s="270">
        <v>4.26</v>
      </c>
      <c r="U958" s="270">
        <v>0.34</v>
      </c>
    </row>
    <row r="959" spans="2:21" ht="17.399999999999999" thickTop="1" thickBot="1">
      <c r="B959" s="103">
        <v>95.299999999999699</v>
      </c>
      <c r="R959" s="343">
        <v>130.82659824099918</v>
      </c>
      <c r="S959" s="343">
        <v>45.609347770999712</v>
      </c>
      <c r="T959" s="270">
        <v>4.2699999999999996</v>
      </c>
      <c r="U959" s="270">
        <v>0.34</v>
      </c>
    </row>
    <row r="960" spans="2:21" ht="17.399999999999999" thickTop="1" thickBot="1">
      <c r="B960" s="216">
        <v>95.399999999999693</v>
      </c>
      <c r="R960" s="343">
        <v>131.10129968399917</v>
      </c>
      <c r="S960" s="343">
        <v>45.705115403999706</v>
      </c>
      <c r="T960" s="270">
        <v>4.28</v>
      </c>
      <c r="U960" s="270">
        <v>0.34</v>
      </c>
    </row>
    <row r="961" spans="2:21" ht="17.399999999999999" thickTop="1" thickBot="1">
      <c r="B961" s="103">
        <v>95.499999999999702</v>
      </c>
      <c r="R961" s="343">
        <v>131.3762892249992</v>
      </c>
      <c r="S961" s="343">
        <v>45.800983474999718</v>
      </c>
      <c r="T961" s="270">
        <v>4.29</v>
      </c>
      <c r="U961" s="270">
        <v>0.34</v>
      </c>
    </row>
    <row r="962" spans="2:21" ht="17.399999999999999" thickTop="1" thickBot="1">
      <c r="B962" s="216">
        <v>95.599999999999696</v>
      </c>
      <c r="R962" s="343">
        <v>131.65156686399916</v>
      </c>
      <c r="S962" s="343">
        <v>45.896951983999713</v>
      </c>
      <c r="T962" s="270">
        <v>4.3</v>
      </c>
      <c r="U962" s="270">
        <v>0.34</v>
      </c>
    </row>
    <row r="963" spans="2:21" ht="17.399999999999999" thickTop="1" thickBot="1">
      <c r="B963" s="103">
        <v>95.699999999999704</v>
      </c>
      <c r="R963" s="343">
        <v>131.92713260099919</v>
      </c>
      <c r="S963" s="343">
        <v>45.99302093099972</v>
      </c>
      <c r="T963" s="270">
        <v>4.3099999999999996</v>
      </c>
      <c r="U963" s="270">
        <v>0.34</v>
      </c>
    </row>
    <row r="964" spans="2:21" ht="17.399999999999999" thickTop="1" thickBot="1">
      <c r="B964" s="216">
        <v>95.799999999999699</v>
      </c>
      <c r="R964" s="343">
        <v>132.20298643599918</v>
      </c>
      <c r="S964" s="343">
        <v>46.089190315999716</v>
      </c>
      <c r="T964" s="270">
        <v>4.32</v>
      </c>
      <c r="U964" s="270">
        <v>0.34</v>
      </c>
    </row>
    <row r="965" spans="2:21" ht="17.399999999999999" thickTop="1" thickBot="1">
      <c r="B965" s="103">
        <v>95.899999999999693</v>
      </c>
      <c r="R965" s="343">
        <v>132.47912836899914</v>
      </c>
      <c r="S965" s="343">
        <v>46.185460138999709</v>
      </c>
      <c r="T965" s="270">
        <v>4.33</v>
      </c>
      <c r="U965" s="270">
        <v>0.34</v>
      </c>
    </row>
    <row r="966" spans="2:21" ht="17.399999999999999" thickTop="1" thickBot="1">
      <c r="B966" s="216">
        <v>95.999999999999702</v>
      </c>
      <c r="R966" s="343">
        <v>132.75555839999916</v>
      </c>
      <c r="S966" s="343">
        <v>46.281830399999706</v>
      </c>
      <c r="T966" s="270">
        <v>4.34</v>
      </c>
      <c r="U966" s="270">
        <v>0.34</v>
      </c>
    </row>
    <row r="967" spans="2:21" ht="17.399999999999999" thickTop="1" thickBot="1">
      <c r="B967" s="103">
        <v>96.099999999999696</v>
      </c>
      <c r="R967" s="343">
        <v>133.03227652899915</v>
      </c>
      <c r="S967" s="343">
        <v>46.378301098999707</v>
      </c>
      <c r="T967" s="270">
        <v>4.34</v>
      </c>
      <c r="U967" s="270">
        <v>0.34</v>
      </c>
    </row>
    <row r="968" spans="2:21" ht="17.399999999999999" thickTop="1" thickBot="1">
      <c r="B968" s="216">
        <v>96.199999999999704</v>
      </c>
      <c r="R968" s="343">
        <v>133.30928275599916</v>
      </c>
      <c r="S968" s="343">
        <v>46.474872235999712</v>
      </c>
      <c r="T968" s="270">
        <v>4.3499999999999996</v>
      </c>
      <c r="U968" s="270">
        <v>0.34</v>
      </c>
    </row>
    <row r="969" spans="2:21" ht="17.399999999999999" thickTop="1" thickBot="1">
      <c r="B969" s="103">
        <v>96.299999999999699</v>
      </c>
      <c r="R969" s="343">
        <v>133.58657708099918</v>
      </c>
      <c r="S969" s="343">
        <v>46.571543810999714</v>
      </c>
      <c r="T969" s="270">
        <v>4.3600000000000003</v>
      </c>
      <c r="U969" s="270">
        <v>0.34</v>
      </c>
    </row>
    <row r="970" spans="2:21" ht="17.399999999999999" thickTop="1" thickBot="1">
      <c r="B970" s="216">
        <v>96.399999999999693</v>
      </c>
      <c r="R970" s="343">
        <v>133.86415950399916</v>
      </c>
      <c r="S970" s="343">
        <v>46.668315823999706</v>
      </c>
      <c r="T970" s="270">
        <v>4.37</v>
      </c>
      <c r="U970" s="270">
        <v>0.34</v>
      </c>
    </row>
    <row r="971" spans="2:21" ht="17.399999999999999" thickTop="1" thickBot="1">
      <c r="B971" s="103">
        <v>96.499999999999702</v>
      </c>
      <c r="R971" s="343">
        <v>134.14203002499917</v>
      </c>
      <c r="S971" s="343">
        <v>46.765188274999709</v>
      </c>
      <c r="T971" s="270">
        <v>4.38</v>
      </c>
      <c r="U971" s="270">
        <v>0.34</v>
      </c>
    </row>
    <row r="972" spans="2:21" ht="17.399999999999999" thickTop="1" thickBot="1">
      <c r="B972" s="216">
        <v>96.599999999999696</v>
      </c>
      <c r="R972" s="343">
        <v>134.42018864399915</v>
      </c>
      <c r="S972" s="343">
        <v>46.862161163999708</v>
      </c>
      <c r="T972" s="270">
        <v>4.3899999999999997</v>
      </c>
      <c r="U972" s="270">
        <v>0.35</v>
      </c>
    </row>
    <row r="973" spans="2:21" ht="17.399999999999999" thickTop="1" thickBot="1">
      <c r="B973" s="103">
        <v>96.699999999999704</v>
      </c>
      <c r="R973" s="343">
        <v>134.69863536099919</v>
      </c>
      <c r="S973" s="343">
        <v>46.959234490999712</v>
      </c>
      <c r="T973" s="270">
        <v>4.4000000000000004</v>
      </c>
      <c r="U973" s="270">
        <v>0.35</v>
      </c>
    </row>
    <row r="974" spans="2:21" ht="17.399999999999999" thickTop="1" thickBot="1">
      <c r="B974" s="216">
        <v>96.799999999999699</v>
      </c>
      <c r="R974" s="343">
        <v>134.97737017599917</v>
      </c>
      <c r="S974" s="343">
        <v>47.056408255999706</v>
      </c>
      <c r="T974" s="270">
        <v>4.41</v>
      </c>
      <c r="U974" s="270">
        <v>0.35</v>
      </c>
    </row>
    <row r="975" spans="2:21" ht="17.399999999999999" thickTop="1" thickBot="1">
      <c r="B975" s="103">
        <v>96.899999999999693</v>
      </c>
      <c r="R975" s="343">
        <v>135.25639308899915</v>
      </c>
      <c r="S975" s="343">
        <v>47.153682458999704</v>
      </c>
      <c r="T975" s="270">
        <v>4.42</v>
      </c>
      <c r="U975" s="270">
        <v>0.35</v>
      </c>
    </row>
    <row r="976" spans="2:21" ht="17.399999999999999" thickTop="1" thickBot="1">
      <c r="B976" s="216">
        <v>96.999999999999702</v>
      </c>
      <c r="R976" s="343">
        <v>135.53570409999915</v>
      </c>
      <c r="S976" s="343">
        <v>47.251057099999706</v>
      </c>
      <c r="T976" s="270">
        <v>4.43</v>
      </c>
      <c r="U976" s="270">
        <v>0.35</v>
      </c>
    </row>
    <row r="977" spans="2:21" ht="17.399999999999999" thickTop="1" thickBot="1">
      <c r="B977" s="103">
        <v>97.099999999999696</v>
      </c>
      <c r="R977" s="343">
        <v>135.81530320899915</v>
      </c>
      <c r="S977" s="343">
        <v>47.348532178999712</v>
      </c>
      <c r="T977" s="270">
        <v>4.4400000000000004</v>
      </c>
      <c r="U977" s="270">
        <v>0.35</v>
      </c>
    </row>
    <row r="978" spans="2:21" ht="17.399999999999999" thickTop="1" thickBot="1">
      <c r="B978" s="216">
        <v>97.199999999999704</v>
      </c>
      <c r="R978" s="343">
        <v>136.09519041599916</v>
      </c>
      <c r="S978" s="343">
        <v>47.446107695999707</v>
      </c>
      <c r="T978" s="270">
        <v>4.4400000000000004</v>
      </c>
      <c r="U978" s="270">
        <v>0.35</v>
      </c>
    </row>
    <row r="979" spans="2:21" ht="17.399999999999999" thickTop="1" thickBot="1">
      <c r="B979" s="103">
        <v>97.299999999999699</v>
      </c>
      <c r="R979" s="343">
        <v>136.37536572099916</v>
      </c>
      <c r="S979" s="343">
        <v>47.543783650999707</v>
      </c>
      <c r="T979" s="270">
        <v>4.45</v>
      </c>
      <c r="U979" s="270">
        <v>0.35</v>
      </c>
    </row>
    <row r="980" spans="2:21" ht="17.399999999999999" thickTop="1" thickBot="1">
      <c r="B980" s="216">
        <v>97.399999999999693</v>
      </c>
      <c r="R980" s="343">
        <v>136.65582912399913</v>
      </c>
      <c r="S980" s="343">
        <v>47.641560043999704</v>
      </c>
      <c r="T980" s="270">
        <v>4.46</v>
      </c>
      <c r="U980" s="270">
        <v>0.35</v>
      </c>
    </row>
    <row r="981" spans="2:21" ht="17.399999999999999" thickTop="1" thickBot="1">
      <c r="B981" s="103">
        <v>97.499999999999702</v>
      </c>
      <c r="R981" s="343">
        <v>136.93658062499915</v>
      </c>
      <c r="S981" s="343">
        <v>47.739436874999711</v>
      </c>
      <c r="T981" s="270">
        <v>4.47</v>
      </c>
      <c r="U981" s="270">
        <v>0.35</v>
      </c>
    </row>
    <row r="982" spans="2:21" ht="17.399999999999999" thickTop="1" thickBot="1">
      <c r="B982" s="216">
        <v>97.599999999999696</v>
      </c>
      <c r="R982" s="343">
        <v>137.21762022399915</v>
      </c>
      <c r="S982" s="343">
        <v>47.837414143999702</v>
      </c>
      <c r="T982" s="270">
        <v>4.4800000000000004</v>
      </c>
      <c r="U982" s="270">
        <v>0.35</v>
      </c>
    </row>
    <row r="983" spans="2:21" ht="17.399999999999999" thickTop="1" thickBot="1">
      <c r="B983" s="103">
        <v>97.699999999999704</v>
      </c>
      <c r="R983" s="343">
        <v>137.49894792099917</v>
      </c>
      <c r="S983" s="343">
        <v>47.935491850999711</v>
      </c>
      <c r="T983" s="270">
        <v>4.49</v>
      </c>
      <c r="U983" s="270">
        <v>0.35</v>
      </c>
    </row>
    <row r="984" spans="2:21" ht="17.399999999999999" thickTop="1" thickBot="1">
      <c r="B984" s="216">
        <v>97.799999999999699</v>
      </c>
      <c r="R984" s="343">
        <v>137.78056371599916</v>
      </c>
      <c r="S984" s="343">
        <v>48.033669995999709</v>
      </c>
      <c r="T984" s="270">
        <v>4.5</v>
      </c>
      <c r="U984" s="270">
        <v>0.35</v>
      </c>
    </row>
    <row r="985" spans="2:21" ht="17.399999999999999" thickTop="1" thickBot="1">
      <c r="B985" s="103">
        <v>97.899999999999693</v>
      </c>
      <c r="R985" s="343">
        <v>138.06246760899913</v>
      </c>
      <c r="S985" s="343">
        <v>48.131948578999697</v>
      </c>
      <c r="T985" s="270">
        <v>4.51</v>
      </c>
      <c r="U985" s="270">
        <v>0.35</v>
      </c>
    </row>
    <row r="986" spans="2:21" ht="17.399999999999999" thickTop="1" thickBot="1">
      <c r="B986" s="216">
        <v>97.999999999999702</v>
      </c>
      <c r="R986" s="343">
        <v>138.34465959999915</v>
      </c>
      <c r="S986" s="343">
        <v>48.230327599999711</v>
      </c>
      <c r="T986" s="270">
        <v>4.5199999999999996</v>
      </c>
      <c r="U986" s="270">
        <v>0.36</v>
      </c>
    </row>
    <row r="987" spans="2:21" ht="17.399999999999999" thickTop="1" thickBot="1">
      <c r="B987" s="103">
        <v>98.099999999999696</v>
      </c>
      <c r="R987" s="343">
        <v>138.62713968899914</v>
      </c>
      <c r="S987" s="343">
        <v>48.328807058999701</v>
      </c>
      <c r="T987" s="270">
        <v>4.53</v>
      </c>
      <c r="U987" s="270">
        <v>0.36</v>
      </c>
    </row>
    <row r="988" spans="2:21" ht="17.399999999999999" thickTop="1" thickBot="1">
      <c r="B988" s="216">
        <v>98.199999999999704</v>
      </c>
      <c r="R988" s="343">
        <v>138.90990787599915</v>
      </c>
      <c r="S988" s="343">
        <v>48.427386955999708</v>
      </c>
      <c r="T988" s="270">
        <v>4.54</v>
      </c>
      <c r="U988" s="270">
        <v>0.36</v>
      </c>
    </row>
    <row r="989" spans="2:21" ht="17.399999999999999" thickTop="1" thickBot="1">
      <c r="B989" s="103">
        <v>98.299999999999699</v>
      </c>
      <c r="R989" s="343">
        <v>139.19296416099914</v>
      </c>
      <c r="S989" s="343">
        <v>48.526067290999706</v>
      </c>
      <c r="T989" s="270">
        <v>4.55</v>
      </c>
      <c r="U989" s="270">
        <v>0.36</v>
      </c>
    </row>
    <row r="990" spans="2:21" ht="17.399999999999999" thickTop="1" thickBot="1">
      <c r="B990" s="216">
        <v>98.399999999999693</v>
      </c>
      <c r="R990" s="343">
        <v>139.47630854399912</v>
      </c>
      <c r="S990" s="343">
        <v>48.6248480639997</v>
      </c>
      <c r="T990" s="270">
        <v>4.5599999999999996</v>
      </c>
      <c r="U990" s="270">
        <v>0.36</v>
      </c>
    </row>
    <row r="991" spans="2:21" ht="17.399999999999999" thickTop="1" thickBot="1">
      <c r="B991" s="103">
        <v>98.499999999999702</v>
      </c>
      <c r="R991" s="343">
        <v>139.75994102499916</v>
      </c>
      <c r="S991" s="343">
        <v>48.723729274999712</v>
      </c>
      <c r="T991" s="270">
        <v>4.5599999999999996</v>
      </c>
      <c r="U991" s="270">
        <v>0.36</v>
      </c>
    </row>
    <row r="992" spans="2:21" ht="17.399999999999999" thickTop="1" thickBot="1">
      <c r="B992" s="216">
        <v>98.599999999999696</v>
      </c>
      <c r="R992" s="343">
        <v>140.04386160399915</v>
      </c>
      <c r="S992" s="343">
        <v>48.822710923999708</v>
      </c>
      <c r="T992" s="270">
        <v>4.57</v>
      </c>
      <c r="U992" s="270">
        <v>0.36</v>
      </c>
    </row>
    <row r="993" spans="2:21" ht="17.399999999999999" thickTop="1" thickBot="1">
      <c r="B993" s="103">
        <v>98.699999999999704</v>
      </c>
      <c r="R993" s="343">
        <v>140.32807028099916</v>
      </c>
      <c r="S993" s="343">
        <v>48.921793010999714</v>
      </c>
      <c r="T993" s="270">
        <v>4.58</v>
      </c>
      <c r="U993" s="270">
        <v>0.36</v>
      </c>
    </row>
    <row r="994" spans="2:21" ht="17.399999999999999" thickTop="1" thickBot="1">
      <c r="B994" s="216">
        <v>98.799999999999699</v>
      </c>
      <c r="R994" s="343">
        <v>140.61256705599914</v>
      </c>
      <c r="S994" s="343">
        <v>49.020975535999703</v>
      </c>
      <c r="T994" s="270">
        <v>4.59</v>
      </c>
      <c r="U994" s="270">
        <v>0.36</v>
      </c>
    </row>
    <row r="995" spans="2:21" ht="17.399999999999999" thickTop="1" thickBot="1">
      <c r="B995" s="103">
        <v>98.899999999999693</v>
      </c>
      <c r="R995" s="343">
        <v>140.89735192899911</v>
      </c>
      <c r="S995" s="343">
        <v>49.120258498999696</v>
      </c>
      <c r="T995" s="270">
        <v>4.5999999999999996</v>
      </c>
      <c r="U995" s="270">
        <v>0.36</v>
      </c>
    </row>
    <row r="996" spans="2:21" ht="17.399999999999999" thickTop="1" thickBot="1">
      <c r="B996" s="216">
        <v>98.999999999999702</v>
      </c>
      <c r="R996" s="343">
        <v>141.18242489999915</v>
      </c>
      <c r="S996" s="343">
        <v>49.219641899999708</v>
      </c>
      <c r="T996" s="270">
        <v>4.6100000000000003</v>
      </c>
      <c r="U996" s="270">
        <v>0.36</v>
      </c>
    </row>
    <row r="997" spans="2:21" ht="17.399999999999999" thickTop="1" thickBot="1">
      <c r="B997" s="103">
        <v>99.099999999999696</v>
      </c>
      <c r="R997" s="343">
        <v>141.46778596899912</v>
      </c>
      <c r="S997" s="343">
        <v>49.319125738999695</v>
      </c>
      <c r="T997" s="270">
        <v>4.62</v>
      </c>
      <c r="U997" s="270">
        <v>0.36</v>
      </c>
    </row>
    <row r="998" spans="2:21" ht="17.399999999999999" thickTop="1" thickBot="1">
      <c r="B998" s="216">
        <v>99.199999999999704</v>
      </c>
      <c r="R998" s="343">
        <v>141.75343513599915</v>
      </c>
      <c r="S998" s="343">
        <v>49.418710015999707</v>
      </c>
      <c r="T998" s="270">
        <v>4.63</v>
      </c>
      <c r="U998" s="270">
        <v>0.36</v>
      </c>
    </row>
    <row r="999" spans="2:21" ht="17.399999999999999" thickTop="1" thickBot="1">
      <c r="B999" s="103">
        <v>99.299999999999699</v>
      </c>
      <c r="R999" s="343">
        <v>142.03937240099913</v>
      </c>
      <c r="S999" s="343">
        <v>49.518394730999702</v>
      </c>
      <c r="T999" s="270">
        <v>4.6399999999999997</v>
      </c>
      <c r="U999" s="270">
        <v>0.36</v>
      </c>
    </row>
    <row r="1000" spans="2:21" ht="17.399999999999999" thickTop="1" thickBot="1">
      <c r="B1000" s="216">
        <v>99.399999999999693</v>
      </c>
      <c r="R1000" s="343">
        <v>142.32559776399913</v>
      </c>
      <c r="S1000" s="343">
        <v>49.618179883999694</v>
      </c>
      <c r="T1000" s="270">
        <v>4.6500000000000004</v>
      </c>
      <c r="U1000" s="270">
        <v>0.37</v>
      </c>
    </row>
    <row r="1001" spans="2:21" ht="17.399999999999999" thickTop="1" thickBot="1">
      <c r="B1001" s="103">
        <v>99.499999999999702</v>
      </c>
      <c r="R1001" s="343">
        <v>142.61211122499913</v>
      </c>
      <c r="S1001" s="343">
        <v>49.718065474999698</v>
      </c>
      <c r="T1001" s="270">
        <v>4.66</v>
      </c>
      <c r="U1001" s="270">
        <v>0.37</v>
      </c>
    </row>
    <row r="1002" spans="2:21" ht="17.399999999999999" thickTop="1" thickBot="1">
      <c r="B1002" s="216">
        <v>99.599999999999696</v>
      </c>
      <c r="R1002" s="343">
        <v>142.89891278399912</v>
      </c>
      <c r="S1002" s="343">
        <v>49.818051503999698</v>
      </c>
      <c r="T1002" s="270">
        <v>4.67</v>
      </c>
      <c r="U1002" s="270">
        <v>0.37</v>
      </c>
    </row>
    <row r="1003" spans="2:21" ht="17.399999999999999" thickTop="1" thickBot="1">
      <c r="B1003" s="103">
        <v>99.699999999999704</v>
      </c>
      <c r="R1003" s="343">
        <v>143.18600244099918</v>
      </c>
      <c r="S1003" s="343">
        <v>49.918137970999709</v>
      </c>
      <c r="T1003" s="270">
        <v>4.68</v>
      </c>
      <c r="U1003" s="270">
        <v>0.37</v>
      </c>
    </row>
    <row r="1004" spans="2:21" ht="17.399999999999999" thickTop="1" thickBot="1">
      <c r="B1004" s="216">
        <v>99.799999999999699</v>
      </c>
      <c r="R1004" s="343">
        <v>143.47338019599911</v>
      </c>
      <c r="S1004" s="343">
        <v>50.018324875999696</v>
      </c>
      <c r="T1004" s="270">
        <v>4.6900000000000004</v>
      </c>
      <c r="U1004" s="270">
        <v>0.37</v>
      </c>
    </row>
    <row r="1005" spans="2:21" ht="17.399999999999999" thickTop="1" thickBot="1">
      <c r="B1005" s="103">
        <v>99.899999999999693</v>
      </c>
      <c r="R1005" s="343">
        <v>143.76104604899911</v>
      </c>
      <c r="S1005" s="343">
        <v>50.118612218999694</v>
      </c>
      <c r="T1005" s="270">
        <v>4.7</v>
      </c>
      <c r="U1005" s="270">
        <v>0.37</v>
      </c>
    </row>
    <row r="1006" spans="2:21" ht="17.399999999999999" thickTop="1" thickBot="1">
      <c r="B1006" s="216">
        <v>99.999999999999702</v>
      </c>
      <c r="R1006" s="343">
        <v>144.04899999999913</v>
      </c>
      <c r="S1006" s="343">
        <v>50.218999999999703</v>
      </c>
      <c r="T1006" s="270">
        <v>4.7</v>
      </c>
      <c r="U1006" s="270">
        <v>0.37</v>
      </c>
    </row>
    <row r="1007" spans="2:21" ht="17.399999999999999" thickTop="1" thickBot="1">
      <c r="B1007" s="103">
        <v>100.1</v>
      </c>
      <c r="T1007" s="270">
        <v>4.71</v>
      </c>
      <c r="U1007" s="270">
        <v>0.37</v>
      </c>
    </row>
    <row r="1008" spans="2:21" ht="17.399999999999999" thickTop="1" thickBot="1">
      <c r="B1008" s="216">
        <v>100.2</v>
      </c>
      <c r="T1008" s="270">
        <v>4.72</v>
      </c>
      <c r="U1008" s="270">
        <v>0.37</v>
      </c>
    </row>
    <row r="1009" spans="2:21" ht="17.399999999999999" thickTop="1" thickBot="1">
      <c r="B1009" s="103">
        <v>100.3</v>
      </c>
      <c r="T1009" s="270">
        <v>4.7300000000000004</v>
      </c>
      <c r="U1009" s="270">
        <v>0.37</v>
      </c>
    </row>
    <row r="1010" spans="2:21" ht="17.399999999999999" thickTop="1" thickBot="1">
      <c r="B1010" s="216">
        <v>100.4</v>
      </c>
      <c r="T1010" s="270">
        <v>4.74</v>
      </c>
      <c r="U1010" s="270">
        <v>0.37</v>
      </c>
    </row>
    <row r="1011" spans="2:21" ht="17.399999999999999" thickTop="1" thickBot="1">
      <c r="B1011" s="103">
        <v>100.5</v>
      </c>
      <c r="T1011" s="270">
        <v>4.75</v>
      </c>
      <c r="U1011" s="270">
        <v>0.37</v>
      </c>
    </row>
    <row r="1012" spans="2:21" ht="17.399999999999999" thickTop="1" thickBot="1">
      <c r="B1012" s="216">
        <v>100.6</v>
      </c>
      <c r="T1012" s="270">
        <v>4.76</v>
      </c>
      <c r="U1012" s="270">
        <v>0.37</v>
      </c>
    </row>
    <row r="1013" spans="2:21" ht="17.399999999999999" thickTop="1" thickBot="1">
      <c r="B1013" s="103">
        <v>100.7</v>
      </c>
      <c r="T1013" s="270">
        <v>4.7699999999999996</v>
      </c>
      <c r="U1013" s="270">
        <v>0.38</v>
      </c>
    </row>
    <row r="1014" spans="2:21" ht="17.399999999999999" thickTop="1" thickBot="1">
      <c r="B1014" s="216">
        <v>100.8</v>
      </c>
      <c r="T1014" s="270">
        <v>4.78</v>
      </c>
      <c r="U1014" s="270">
        <v>0.38</v>
      </c>
    </row>
    <row r="1015" spans="2:21" ht="17.399999999999999" thickTop="1" thickBot="1">
      <c r="B1015" s="103">
        <v>100.9</v>
      </c>
      <c r="T1015" s="270">
        <v>4.79</v>
      </c>
      <c r="U1015" s="270">
        <v>0.38</v>
      </c>
    </row>
    <row r="1016" spans="2:21" ht="17.399999999999999" thickTop="1" thickBot="1">
      <c r="B1016" s="216">
        <v>101</v>
      </c>
      <c r="T1016" s="270">
        <v>4.8</v>
      </c>
      <c r="U1016" s="270">
        <v>0.38</v>
      </c>
    </row>
    <row r="1017" spans="2:21" ht="17.399999999999999" thickTop="1" thickBot="1">
      <c r="B1017" s="103">
        <v>101.1</v>
      </c>
      <c r="T1017" s="270">
        <v>4.8099999999999996</v>
      </c>
      <c r="U1017" s="270">
        <v>0.38</v>
      </c>
    </row>
    <row r="1018" spans="2:21" ht="17.399999999999999" thickTop="1" thickBot="1">
      <c r="B1018" s="216">
        <v>101.2</v>
      </c>
      <c r="T1018" s="270">
        <v>4.82</v>
      </c>
      <c r="U1018" s="270">
        <v>0.38</v>
      </c>
    </row>
    <row r="1019" spans="2:21" ht="17.399999999999999" thickTop="1" thickBot="1">
      <c r="B1019" s="103">
        <v>101.3</v>
      </c>
      <c r="T1019" s="270">
        <v>4.83</v>
      </c>
      <c r="U1019" s="270">
        <v>0.38</v>
      </c>
    </row>
    <row r="1020" spans="2:21" ht="17.399999999999999" thickTop="1" thickBot="1">
      <c r="B1020" s="216">
        <v>101.4</v>
      </c>
      <c r="T1020" s="270">
        <v>4.84</v>
      </c>
      <c r="U1020" s="270">
        <v>0.38</v>
      </c>
    </row>
    <row r="1021" spans="2:21" ht="17.399999999999999" thickTop="1" thickBot="1">
      <c r="B1021" s="103">
        <v>101.5</v>
      </c>
      <c r="T1021" s="270">
        <v>4.8499999999999996</v>
      </c>
      <c r="U1021" s="270">
        <v>0.38</v>
      </c>
    </row>
    <row r="1022" spans="2:21" ht="17.399999999999999" thickTop="1" thickBot="1">
      <c r="B1022" s="216">
        <v>101.6</v>
      </c>
      <c r="T1022" s="270">
        <v>4.8600000000000003</v>
      </c>
      <c r="U1022" s="270">
        <v>0.38</v>
      </c>
    </row>
    <row r="1023" spans="2:21" ht="17.399999999999999" thickTop="1" thickBot="1">
      <c r="B1023" s="103">
        <v>101.7</v>
      </c>
      <c r="T1023" s="270">
        <v>4.87</v>
      </c>
      <c r="U1023" s="270">
        <v>0.38</v>
      </c>
    </row>
    <row r="1024" spans="2:21" ht="17.399999999999999" thickTop="1" thickBot="1">
      <c r="B1024" s="216">
        <v>101.8</v>
      </c>
      <c r="T1024" s="270">
        <v>4.88</v>
      </c>
      <c r="U1024" s="270">
        <v>0.38</v>
      </c>
    </row>
    <row r="1025" spans="2:21" ht="17.399999999999999" thickTop="1" thickBot="1">
      <c r="B1025" s="103">
        <v>101.9</v>
      </c>
      <c r="T1025" s="270">
        <v>4.8899999999999997</v>
      </c>
      <c r="U1025" s="270">
        <v>0.38</v>
      </c>
    </row>
    <row r="1026" spans="2:21" ht="17.399999999999999" thickTop="1" thickBot="1">
      <c r="B1026" s="216">
        <v>102</v>
      </c>
      <c r="T1026" s="270">
        <v>4.8899999999999997</v>
      </c>
      <c r="U1026" s="270">
        <v>0.38</v>
      </c>
    </row>
    <row r="1027" spans="2:21" ht="17.399999999999999" thickTop="1" thickBot="1">
      <c r="B1027" s="103">
        <v>102.1</v>
      </c>
      <c r="T1027" s="270">
        <v>4.9000000000000004</v>
      </c>
      <c r="U1027" s="270">
        <v>0.39</v>
      </c>
    </row>
    <row r="1028" spans="2:21" ht="17.399999999999999" thickTop="1" thickBot="1">
      <c r="B1028" s="216">
        <v>102.2</v>
      </c>
      <c r="T1028" s="270">
        <v>4.91</v>
      </c>
      <c r="U1028" s="270">
        <v>0.39</v>
      </c>
    </row>
    <row r="1029" spans="2:21" ht="17.399999999999999" thickTop="1" thickBot="1">
      <c r="B1029" s="103">
        <v>102.3</v>
      </c>
      <c r="T1029" s="270">
        <v>4.92</v>
      </c>
      <c r="U1029" s="270">
        <v>0.39</v>
      </c>
    </row>
    <row r="1030" spans="2:21" ht="17.399999999999999" thickTop="1" thickBot="1">
      <c r="B1030" s="216">
        <v>102.4</v>
      </c>
      <c r="T1030" s="270">
        <v>4.93</v>
      </c>
      <c r="U1030" s="270">
        <v>0.39</v>
      </c>
    </row>
    <row r="1031" spans="2:21" ht="17.399999999999999" thickTop="1" thickBot="1">
      <c r="B1031" s="103">
        <v>102.5</v>
      </c>
      <c r="T1031" s="270">
        <v>4.9400000000000004</v>
      </c>
      <c r="U1031" s="270">
        <v>0.39</v>
      </c>
    </row>
    <row r="1032" spans="2:21" ht="17.399999999999999" thickTop="1" thickBot="1">
      <c r="B1032" s="216">
        <v>102.6</v>
      </c>
      <c r="T1032" s="270">
        <v>4.95</v>
      </c>
      <c r="U1032" s="270">
        <v>0.39</v>
      </c>
    </row>
    <row r="1033" spans="2:21" ht="17.399999999999999" thickTop="1" thickBot="1">
      <c r="B1033" s="103">
        <v>102.7</v>
      </c>
      <c r="T1033" s="270">
        <v>4.96</v>
      </c>
      <c r="U1033" s="270">
        <v>0.39</v>
      </c>
    </row>
    <row r="1034" spans="2:21" ht="17.399999999999999" thickTop="1" thickBot="1">
      <c r="B1034" s="216">
        <v>102.8</v>
      </c>
      <c r="T1034" s="270">
        <v>4.97</v>
      </c>
      <c r="U1034" s="270">
        <v>0.39</v>
      </c>
    </row>
    <row r="1035" spans="2:21" ht="17.399999999999999" thickTop="1" thickBot="1">
      <c r="B1035" s="103">
        <v>102.9</v>
      </c>
      <c r="T1035" s="270">
        <v>4.9800000000000004</v>
      </c>
      <c r="U1035" s="270">
        <v>0.39</v>
      </c>
    </row>
    <row r="1036" spans="2:21" ht="17.399999999999999" thickTop="1" thickBot="1">
      <c r="B1036" s="216">
        <v>103</v>
      </c>
      <c r="T1036" s="270">
        <v>4.99</v>
      </c>
      <c r="U1036" s="270">
        <v>0.39</v>
      </c>
    </row>
    <row r="1037" spans="2:21" ht="17.399999999999999" thickTop="1" thickBot="1">
      <c r="B1037" s="103">
        <v>103.1</v>
      </c>
      <c r="T1037" s="270">
        <v>5</v>
      </c>
      <c r="U1037" s="270">
        <v>0.39</v>
      </c>
    </row>
    <row r="1038" spans="2:21" ht="17.399999999999999" thickTop="1" thickBot="1">
      <c r="B1038" s="216">
        <v>103.2</v>
      </c>
      <c r="T1038" s="270">
        <v>5.01</v>
      </c>
      <c r="U1038" s="270">
        <v>0.39</v>
      </c>
    </row>
    <row r="1039" spans="2:21" ht="17.399999999999999" thickTop="1" thickBot="1">
      <c r="B1039" s="103">
        <v>103.3</v>
      </c>
      <c r="T1039" s="270">
        <v>5.0199999999999996</v>
      </c>
      <c r="U1039" s="270">
        <v>0.39</v>
      </c>
    </row>
    <row r="1040" spans="2:21" ht="17.399999999999999" thickTop="1" thickBot="1">
      <c r="B1040" s="216">
        <v>103.4</v>
      </c>
      <c r="T1040" s="270">
        <v>5.03</v>
      </c>
      <c r="U1040" s="270">
        <v>0.4</v>
      </c>
    </row>
    <row r="1041" spans="2:21" ht="17.399999999999999" thickTop="1" thickBot="1">
      <c r="B1041" s="103">
        <v>103.5</v>
      </c>
      <c r="T1041" s="270">
        <v>5.04</v>
      </c>
      <c r="U1041" s="270">
        <v>0.4</v>
      </c>
    </row>
    <row r="1042" spans="2:21" ht="17.399999999999999" thickTop="1" thickBot="1">
      <c r="B1042" s="216">
        <v>103.6</v>
      </c>
      <c r="T1042" s="270">
        <v>5.05</v>
      </c>
      <c r="U1042" s="270">
        <v>0.4</v>
      </c>
    </row>
    <row r="1043" spans="2:21" ht="17.399999999999999" thickTop="1" thickBot="1">
      <c r="B1043" s="103">
        <v>103.7</v>
      </c>
      <c r="T1043" s="270">
        <v>5.0599999999999996</v>
      </c>
      <c r="U1043" s="270">
        <v>0.4</v>
      </c>
    </row>
    <row r="1044" spans="2:21" ht="17.399999999999999" thickTop="1" thickBot="1">
      <c r="B1044" s="216">
        <v>103.8</v>
      </c>
      <c r="T1044" s="270">
        <v>5.07</v>
      </c>
      <c r="U1044" s="270">
        <v>0.4</v>
      </c>
    </row>
    <row r="1045" spans="2:21" ht="17.399999999999999" thickTop="1" thickBot="1">
      <c r="B1045" s="103">
        <v>103.9</v>
      </c>
      <c r="T1045" s="270">
        <v>5.08</v>
      </c>
      <c r="U1045" s="270">
        <v>0.4</v>
      </c>
    </row>
    <row r="1046" spans="2:21" ht="17.399999999999999" thickTop="1" thickBot="1">
      <c r="B1046" s="216">
        <v>104</v>
      </c>
      <c r="T1046" s="270">
        <v>5.09</v>
      </c>
      <c r="U1046" s="270">
        <v>0.4</v>
      </c>
    </row>
    <row r="1047" spans="2:21" ht="17.399999999999999" thickTop="1" thickBot="1">
      <c r="B1047" s="103">
        <v>104.1</v>
      </c>
      <c r="T1047" s="270">
        <v>5.0999999999999996</v>
      </c>
      <c r="U1047" s="270">
        <v>0.4</v>
      </c>
    </row>
    <row r="1048" spans="2:21" ht="17.399999999999999" thickTop="1" thickBot="1">
      <c r="B1048" s="216">
        <v>104.2</v>
      </c>
      <c r="T1048" s="270">
        <v>5.1100000000000003</v>
      </c>
      <c r="U1048" s="270">
        <v>0.4</v>
      </c>
    </row>
    <row r="1049" spans="2:21" ht="17.399999999999999" thickTop="1" thickBot="1">
      <c r="B1049" s="103">
        <v>104.3</v>
      </c>
      <c r="T1049" s="270">
        <v>5.12</v>
      </c>
      <c r="U1049" s="270">
        <v>0.4</v>
      </c>
    </row>
    <row r="1050" spans="2:21" ht="17.399999999999999" thickTop="1" thickBot="1">
      <c r="B1050" s="216">
        <v>104.4</v>
      </c>
      <c r="T1050" s="270">
        <v>5.13</v>
      </c>
      <c r="U1050" s="270">
        <v>0.4</v>
      </c>
    </row>
    <row r="1051" spans="2:21" ht="17.399999999999999" thickTop="1" thickBot="1">
      <c r="B1051" s="103">
        <v>104.5</v>
      </c>
      <c r="T1051" s="270">
        <v>5.14</v>
      </c>
      <c r="U1051" s="270">
        <v>0.4</v>
      </c>
    </row>
    <row r="1052" spans="2:21" ht="17.399999999999999" thickTop="1" thickBot="1">
      <c r="B1052" s="216">
        <v>104.6</v>
      </c>
      <c r="T1052" s="270">
        <v>5.15</v>
      </c>
      <c r="U1052" s="270">
        <v>0.4</v>
      </c>
    </row>
    <row r="1053" spans="2:21" ht="17.399999999999999" thickTop="1" thickBot="1">
      <c r="B1053" s="103">
        <v>104.7</v>
      </c>
      <c r="T1053" s="270">
        <v>5.16</v>
      </c>
      <c r="U1053" s="270">
        <v>0.41</v>
      </c>
    </row>
    <row r="1054" spans="2:21" ht="17.399999999999999" thickTop="1" thickBot="1">
      <c r="B1054" s="216">
        <v>104.8</v>
      </c>
      <c r="T1054" s="270">
        <v>5.17</v>
      </c>
      <c r="U1054" s="270">
        <v>0.41</v>
      </c>
    </row>
    <row r="1055" spans="2:21" ht="17.399999999999999" thickTop="1" thickBot="1">
      <c r="B1055" s="103">
        <v>104.9</v>
      </c>
      <c r="T1055" s="270">
        <v>5.18</v>
      </c>
      <c r="U1055" s="270">
        <v>0.41</v>
      </c>
    </row>
    <row r="1056" spans="2:21" ht="17.399999999999999" thickTop="1" thickBot="1">
      <c r="B1056" s="216">
        <v>105</v>
      </c>
      <c r="T1056" s="270">
        <v>5.19</v>
      </c>
      <c r="U1056" s="270">
        <v>0.41</v>
      </c>
    </row>
    <row r="1057" spans="2:21" ht="17.399999999999999" thickTop="1" thickBot="1">
      <c r="B1057" s="103">
        <v>105.1</v>
      </c>
      <c r="T1057" s="270">
        <v>5.2</v>
      </c>
      <c r="U1057" s="270">
        <v>0.41</v>
      </c>
    </row>
    <row r="1058" spans="2:21" ht="17.399999999999999" thickTop="1" thickBot="1">
      <c r="B1058" s="216">
        <v>105.2</v>
      </c>
      <c r="T1058" s="270">
        <v>5.21</v>
      </c>
      <c r="U1058" s="270">
        <v>0.41</v>
      </c>
    </row>
    <row r="1059" spans="2:21" ht="17.399999999999999" thickTop="1" thickBot="1">
      <c r="B1059" s="103">
        <v>105.3</v>
      </c>
      <c r="T1059" s="270">
        <v>5.22</v>
      </c>
      <c r="U1059" s="270">
        <v>0.41</v>
      </c>
    </row>
    <row r="1060" spans="2:21" ht="17.399999999999999" thickTop="1" thickBot="1">
      <c r="B1060" s="216">
        <v>105.4</v>
      </c>
      <c r="T1060" s="270">
        <v>5.23</v>
      </c>
      <c r="U1060" s="270">
        <v>0.41</v>
      </c>
    </row>
    <row r="1061" spans="2:21" ht="17.399999999999999" thickTop="1" thickBot="1">
      <c r="B1061" s="103">
        <v>105.5</v>
      </c>
      <c r="T1061" s="270">
        <v>5.24</v>
      </c>
      <c r="U1061" s="270">
        <v>0.41</v>
      </c>
    </row>
    <row r="1062" spans="2:21" ht="17.399999999999999" thickTop="1" thickBot="1">
      <c r="B1062" s="216">
        <v>105.6</v>
      </c>
      <c r="T1062" s="270">
        <v>5.25</v>
      </c>
      <c r="U1062" s="270">
        <v>0.41</v>
      </c>
    </row>
    <row r="1063" spans="2:21" ht="17.399999999999999" thickTop="1" thickBot="1">
      <c r="B1063" s="103">
        <v>105.7</v>
      </c>
      <c r="T1063" s="270">
        <v>5.26</v>
      </c>
      <c r="U1063" s="270">
        <v>0.41</v>
      </c>
    </row>
    <row r="1064" spans="2:21" ht="17.399999999999999" thickTop="1" thickBot="1">
      <c r="B1064" s="216">
        <v>105.8</v>
      </c>
      <c r="T1064" s="270">
        <v>5.27</v>
      </c>
      <c r="U1064" s="270">
        <v>0.41</v>
      </c>
    </row>
    <row r="1065" spans="2:21" ht="17.399999999999999" thickTop="1" thickBot="1">
      <c r="B1065" s="103">
        <v>105.9</v>
      </c>
      <c r="T1065" s="270">
        <v>5.28</v>
      </c>
      <c r="U1065" s="270">
        <v>0.41</v>
      </c>
    </row>
    <row r="1066" spans="2:21" ht="17.399999999999999" thickTop="1" thickBot="1">
      <c r="B1066" s="216">
        <v>106</v>
      </c>
      <c r="T1066" s="270">
        <v>5.29</v>
      </c>
      <c r="U1066" s="270">
        <v>0.42</v>
      </c>
    </row>
    <row r="1067" spans="2:21" ht="17.399999999999999" thickTop="1" thickBot="1">
      <c r="B1067" s="103">
        <v>106.1</v>
      </c>
      <c r="T1067" s="270">
        <v>5.3</v>
      </c>
      <c r="U1067" s="270">
        <v>0.42</v>
      </c>
    </row>
    <row r="1068" spans="2:21" ht="17.399999999999999" thickTop="1" thickBot="1">
      <c r="B1068" s="216">
        <v>106.2</v>
      </c>
      <c r="T1068" s="270">
        <v>5.31</v>
      </c>
      <c r="U1068" s="270">
        <v>0.42</v>
      </c>
    </row>
    <row r="1069" spans="2:21" ht="17.399999999999999" thickTop="1" thickBot="1">
      <c r="B1069" s="103">
        <v>106.3</v>
      </c>
      <c r="T1069" s="270">
        <v>5.32</v>
      </c>
      <c r="U1069" s="270">
        <v>0.42</v>
      </c>
    </row>
    <row r="1070" spans="2:21" ht="17.399999999999999" thickTop="1" thickBot="1">
      <c r="B1070" s="216">
        <v>106.4</v>
      </c>
      <c r="T1070" s="270">
        <v>5.33</v>
      </c>
      <c r="U1070" s="270">
        <v>0.42</v>
      </c>
    </row>
    <row r="1071" spans="2:21" ht="17.399999999999999" thickTop="1" thickBot="1">
      <c r="B1071" s="103">
        <v>106.5</v>
      </c>
      <c r="T1071" s="270">
        <v>5.34</v>
      </c>
      <c r="U1071" s="270">
        <v>0.42</v>
      </c>
    </row>
    <row r="1072" spans="2:21" ht="17.399999999999999" thickTop="1" thickBot="1">
      <c r="B1072" s="216">
        <v>106.6</v>
      </c>
      <c r="T1072" s="270">
        <v>5.35</v>
      </c>
      <c r="U1072" s="270">
        <v>0.42</v>
      </c>
    </row>
    <row r="1073" spans="2:21" ht="17.399999999999999" thickTop="1" thickBot="1">
      <c r="B1073" s="103">
        <v>106.7</v>
      </c>
      <c r="T1073" s="270">
        <v>5.36</v>
      </c>
      <c r="U1073" s="270">
        <v>0.42</v>
      </c>
    </row>
    <row r="1074" spans="2:21" ht="17.399999999999999" thickTop="1" thickBot="1">
      <c r="B1074" s="216">
        <v>106.8</v>
      </c>
      <c r="T1074" s="270">
        <v>5.37</v>
      </c>
      <c r="U1074" s="270">
        <v>0.42</v>
      </c>
    </row>
    <row r="1075" spans="2:21" ht="17.399999999999999" thickTop="1" thickBot="1">
      <c r="B1075" s="103">
        <v>106.9</v>
      </c>
      <c r="T1075" s="270">
        <v>5.38</v>
      </c>
      <c r="U1075" s="270">
        <v>0.42</v>
      </c>
    </row>
    <row r="1076" spans="2:21" ht="17.399999999999999" thickTop="1" thickBot="1">
      <c r="B1076" s="216">
        <v>107</v>
      </c>
      <c r="T1076" s="270">
        <v>5.39</v>
      </c>
      <c r="U1076" s="270">
        <v>0.42</v>
      </c>
    </row>
    <row r="1077" spans="2:21" ht="17.399999999999999" thickTop="1" thickBot="1">
      <c r="B1077" s="103">
        <v>107.1</v>
      </c>
      <c r="T1077" s="270">
        <v>5.4</v>
      </c>
      <c r="U1077" s="270">
        <v>0.42</v>
      </c>
    </row>
    <row r="1078" spans="2:21" ht="17.399999999999999" thickTop="1" thickBot="1">
      <c r="B1078" s="216">
        <v>107.2</v>
      </c>
      <c r="T1078" s="270">
        <v>5.41</v>
      </c>
      <c r="U1078" s="270">
        <v>0.43</v>
      </c>
    </row>
    <row r="1079" spans="2:21" ht="17.399999999999999" thickTop="1" thickBot="1">
      <c r="B1079" s="103">
        <v>107.3</v>
      </c>
      <c r="T1079" s="270">
        <v>5.42</v>
      </c>
      <c r="U1079" s="270">
        <v>0.43</v>
      </c>
    </row>
    <row r="1080" spans="2:21" ht="17.399999999999999" thickTop="1" thickBot="1">
      <c r="B1080" s="216">
        <v>107.4</v>
      </c>
      <c r="T1080" s="270">
        <v>5.43</v>
      </c>
      <c r="U1080" s="270">
        <v>0.43</v>
      </c>
    </row>
    <row r="1081" spans="2:21" ht="17.399999999999999" thickTop="1" thickBot="1">
      <c r="B1081" s="103">
        <v>107.5</v>
      </c>
      <c r="T1081" s="270">
        <v>5.44</v>
      </c>
      <c r="U1081" s="270">
        <v>0.43</v>
      </c>
    </row>
    <row r="1082" spans="2:21" ht="17.399999999999999" thickTop="1" thickBot="1">
      <c r="B1082" s="216">
        <v>107.6</v>
      </c>
      <c r="T1082" s="270">
        <v>5.45</v>
      </c>
      <c r="U1082" s="270">
        <v>0.43</v>
      </c>
    </row>
    <row r="1083" spans="2:21" ht="17.399999999999999" thickTop="1" thickBot="1">
      <c r="B1083" s="103">
        <v>107.7</v>
      </c>
      <c r="T1083" s="270">
        <v>5.46</v>
      </c>
      <c r="U1083" s="270">
        <v>0.43</v>
      </c>
    </row>
    <row r="1084" spans="2:21" ht="17.399999999999999" thickTop="1" thickBot="1">
      <c r="B1084" s="216">
        <v>107.8</v>
      </c>
      <c r="T1084" s="270">
        <v>5.47</v>
      </c>
      <c r="U1084" s="270">
        <v>0.43</v>
      </c>
    </row>
    <row r="1085" spans="2:21" ht="17.399999999999999" thickTop="1" thickBot="1">
      <c r="B1085" s="103">
        <v>107.9</v>
      </c>
      <c r="T1085" s="270">
        <v>5.48</v>
      </c>
      <c r="U1085" s="270">
        <v>0.43</v>
      </c>
    </row>
    <row r="1086" spans="2:21" ht="17.399999999999999" thickTop="1" thickBot="1">
      <c r="B1086" s="216">
        <v>108</v>
      </c>
      <c r="T1086" s="270">
        <v>5.49</v>
      </c>
      <c r="U1086" s="270">
        <v>0.43</v>
      </c>
    </row>
    <row r="1087" spans="2:21" ht="17.399999999999999" thickTop="1" thickBot="1">
      <c r="B1087" s="103">
        <v>108.1</v>
      </c>
      <c r="T1087" s="270">
        <v>5.5</v>
      </c>
      <c r="U1087" s="270">
        <v>0.43</v>
      </c>
    </row>
    <row r="1088" spans="2:21" ht="17.399999999999999" thickTop="1" thickBot="1">
      <c r="B1088" s="216">
        <v>108.2</v>
      </c>
      <c r="T1088" s="270">
        <v>5.51</v>
      </c>
      <c r="U1088" s="270">
        <v>0.43</v>
      </c>
    </row>
    <row r="1089" spans="2:21" ht="17.399999999999999" thickTop="1" thickBot="1">
      <c r="B1089" s="103">
        <v>108.3</v>
      </c>
      <c r="T1089" s="270">
        <v>5.52</v>
      </c>
      <c r="U1089" s="270">
        <v>0.43</v>
      </c>
    </row>
    <row r="1090" spans="2:21" ht="17.399999999999999" thickTop="1" thickBot="1">
      <c r="B1090" s="216">
        <v>108.4</v>
      </c>
      <c r="T1090" s="270">
        <v>5.53</v>
      </c>
      <c r="U1090" s="270">
        <v>0.43</v>
      </c>
    </row>
    <row r="1091" spans="2:21" ht="17.399999999999999" thickTop="1" thickBot="1">
      <c r="B1091" s="103">
        <v>108.5</v>
      </c>
      <c r="T1091" s="270">
        <v>5.54</v>
      </c>
      <c r="U1091" s="270">
        <v>0.44</v>
      </c>
    </row>
    <row r="1092" spans="2:21" ht="17.399999999999999" thickTop="1" thickBot="1">
      <c r="B1092" s="216">
        <v>108.6</v>
      </c>
      <c r="T1092" s="270">
        <v>5.55</v>
      </c>
      <c r="U1092" s="270">
        <v>0.44</v>
      </c>
    </row>
    <row r="1093" spans="2:21" ht="17.399999999999999" thickTop="1" thickBot="1">
      <c r="B1093" s="103">
        <v>108.7</v>
      </c>
      <c r="T1093" s="270">
        <v>5.56</v>
      </c>
      <c r="U1093" s="270">
        <v>0.44</v>
      </c>
    </row>
    <row r="1094" spans="2:21" ht="17.399999999999999" thickTop="1" thickBot="1">
      <c r="B1094" s="216">
        <v>108.8</v>
      </c>
      <c r="T1094" s="270">
        <v>5.57</v>
      </c>
      <c r="U1094" s="270">
        <v>0.44</v>
      </c>
    </row>
    <row r="1095" spans="2:21" ht="17.399999999999999" thickTop="1" thickBot="1">
      <c r="B1095" s="103">
        <v>108.9</v>
      </c>
      <c r="T1095" s="270">
        <v>5.58</v>
      </c>
      <c r="U1095" s="270">
        <v>0.44</v>
      </c>
    </row>
    <row r="1096" spans="2:21" ht="17.399999999999999" thickTop="1" thickBot="1">
      <c r="B1096" s="216">
        <v>109</v>
      </c>
      <c r="T1096" s="270">
        <v>5.59</v>
      </c>
      <c r="U1096" s="270">
        <v>0.44</v>
      </c>
    </row>
    <row r="1097" spans="2:21" ht="17.399999999999999" thickTop="1" thickBot="1">
      <c r="B1097" s="103">
        <v>109.1</v>
      </c>
      <c r="T1097" s="270">
        <v>5.6</v>
      </c>
      <c r="U1097" s="270">
        <v>0.44</v>
      </c>
    </row>
    <row r="1098" spans="2:21" ht="17.399999999999999" thickTop="1" thickBot="1">
      <c r="B1098" s="216">
        <v>109.2</v>
      </c>
      <c r="T1098" s="270">
        <v>5.61</v>
      </c>
      <c r="U1098" s="270">
        <v>0.44</v>
      </c>
    </row>
    <row r="1099" spans="2:21" ht="17.399999999999999" thickTop="1" thickBot="1">
      <c r="B1099" s="103">
        <v>109.3</v>
      </c>
      <c r="T1099" s="270">
        <v>5.62</v>
      </c>
      <c r="U1099" s="270">
        <v>0.44</v>
      </c>
    </row>
    <row r="1100" spans="2:21" ht="17.399999999999999" thickTop="1" thickBot="1">
      <c r="B1100" s="216">
        <v>109.4</v>
      </c>
      <c r="T1100" s="270">
        <v>5.63</v>
      </c>
      <c r="U1100" s="270">
        <v>0.44</v>
      </c>
    </row>
    <row r="1101" spans="2:21" ht="17.399999999999999" thickTop="1" thickBot="1">
      <c r="B1101" s="103">
        <v>109.5</v>
      </c>
      <c r="T1101" s="270">
        <v>5.64</v>
      </c>
      <c r="U1101" s="270">
        <v>0.44</v>
      </c>
    </row>
    <row r="1102" spans="2:21" ht="17.399999999999999" thickTop="1" thickBot="1">
      <c r="B1102" s="216">
        <v>109.6</v>
      </c>
      <c r="T1102" s="270">
        <v>5.65</v>
      </c>
      <c r="U1102" s="270">
        <v>0.44</v>
      </c>
    </row>
    <row r="1103" spans="2:21" ht="17.399999999999999" thickTop="1" thickBot="1">
      <c r="B1103" s="103">
        <v>109.7</v>
      </c>
      <c r="T1103" s="270">
        <v>5.66</v>
      </c>
      <c r="U1103" s="270">
        <v>0.45</v>
      </c>
    </row>
    <row r="1104" spans="2:21" ht="17.399999999999999" thickTop="1" thickBot="1">
      <c r="B1104" s="216">
        <v>109.8</v>
      </c>
      <c r="T1104" s="270">
        <v>5.67</v>
      </c>
      <c r="U1104" s="270">
        <v>0.45</v>
      </c>
    </row>
    <row r="1105" spans="2:21" ht="17.399999999999999" thickTop="1" thickBot="1">
      <c r="B1105" s="103">
        <v>109.9</v>
      </c>
      <c r="T1105" s="270">
        <v>5.68</v>
      </c>
      <c r="U1105" s="270">
        <v>0.45</v>
      </c>
    </row>
    <row r="1106" spans="2:21" ht="17.399999999999999" thickTop="1" thickBot="1">
      <c r="B1106" s="216">
        <v>110</v>
      </c>
      <c r="T1106" s="270">
        <v>5.69</v>
      </c>
      <c r="U1106" s="270">
        <v>0.45</v>
      </c>
    </row>
    <row r="1107" spans="2:21" ht="17.399999999999999" thickTop="1" thickBot="1">
      <c r="B1107" s="103">
        <v>110.1</v>
      </c>
      <c r="T1107" s="270">
        <v>5.7</v>
      </c>
      <c r="U1107" s="270">
        <v>0.45</v>
      </c>
    </row>
    <row r="1108" spans="2:21" ht="17.399999999999999" thickTop="1" thickBot="1">
      <c r="B1108" s="216">
        <v>110.2</v>
      </c>
      <c r="T1108" s="270">
        <v>5.71</v>
      </c>
      <c r="U1108" s="270">
        <v>0.45</v>
      </c>
    </row>
    <row r="1109" spans="2:21" ht="17.399999999999999" thickTop="1" thickBot="1">
      <c r="B1109" s="103">
        <v>110.3</v>
      </c>
      <c r="T1109" s="270">
        <v>5.72</v>
      </c>
      <c r="U1109" s="270">
        <v>0.45</v>
      </c>
    </row>
    <row r="1110" spans="2:21" ht="17.399999999999999" thickTop="1" thickBot="1">
      <c r="B1110" s="216">
        <v>110.4</v>
      </c>
      <c r="T1110" s="270">
        <v>5.73</v>
      </c>
      <c r="U1110" s="270">
        <v>0.45</v>
      </c>
    </row>
    <row r="1111" spans="2:21" ht="17.399999999999999" thickTop="1" thickBot="1">
      <c r="B1111" s="103">
        <v>110.5</v>
      </c>
      <c r="T1111" s="270">
        <v>5.74</v>
      </c>
      <c r="U1111" s="270">
        <v>0.45</v>
      </c>
    </row>
    <row r="1112" spans="2:21" ht="17.399999999999999" thickTop="1" thickBot="1">
      <c r="B1112" s="216">
        <v>110.6</v>
      </c>
      <c r="T1112" s="270">
        <v>5.75</v>
      </c>
      <c r="U1112" s="270">
        <v>0.45</v>
      </c>
    </row>
    <row r="1113" spans="2:21" ht="17.399999999999999" thickTop="1" thickBot="1">
      <c r="B1113" s="103">
        <v>110.7</v>
      </c>
      <c r="T1113" s="270">
        <v>5.77</v>
      </c>
      <c r="U1113" s="270">
        <v>0.45</v>
      </c>
    </row>
    <row r="1114" spans="2:21" ht="17.399999999999999" thickTop="1" thickBot="1">
      <c r="B1114" s="216">
        <v>110.8</v>
      </c>
      <c r="T1114" s="270">
        <v>5.78</v>
      </c>
      <c r="U1114" s="270">
        <v>0.45</v>
      </c>
    </row>
    <row r="1115" spans="2:21" ht="17.399999999999999" thickTop="1" thickBot="1">
      <c r="B1115" s="103">
        <v>110.9</v>
      </c>
      <c r="T1115" s="270">
        <v>5.79</v>
      </c>
      <c r="U1115" s="270">
        <v>0.46</v>
      </c>
    </row>
    <row r="1116" spans="2:21" ht="17.399999999999999" thickTop="1" thickBot="1">
      <c r="B1116" s="216">
        <v>111</v>
      </c>
      <c r="T1116" s="270">
        <v>5.8</v>
      </c>
      <c r="U1116" s="270">
        <v>0.46</v>
      </c>
    </row>
    <row r="1117" spans="2:21" ht="17.399999999999999" thickTop="1" thickBot="1">
      <c r="B1117" s="103">
        <v>111.1</v>
      </c>
      <c r="T1117" s="270">
        <v>5.81</v>
      </c>
      <c r="U1117" s="270">
        <v>0.46</v>
      </c>
    </row>
    <row r="1118" spans="2:21" ht="17.399999999999999" thickTop="1" thickBot="1">
      <c r="B1118" s="216">
        <v>111.2</v>
      </c>
      <c r="T1118" s="270">
        <v>5.82</v>
      </c>
      <c r="U1118" s="270">
        <v>0.46</v>
      </c>
    </row>
    <row r="1119" spans="2:21" ht="17.399999999999999" thickTop="1" thickBot="1">
      <c r="B1119" s="103">
        <v>111.3</v>
      </c>
      <c r="T1119" s="270">
        <v>5.83</v>
      </c>
      <c r="U1119" s="270">
        <v>0.46</v>
      </c>
    </row>
    <row r="1120" spans="2:21" ht="17.399999999999999" thickTop="1" thickBot="1">
      <c r="B1120" s="216">
        <v>111.4</v>
      </c>
      <c r="T1120" s="270">
        <v>5.84</v>
      </c>
      <c r="U1120" s="270">
        <v>0.46</v>
      </c>
    </row>
    <row r="1121" spans="2:21" ht="17.399999999999999" thickTop="1" thickBot="1">
      <c r="B1121" s="103">
        <v>111.5</v>
      </c>
      <c r="T1121" s="270">
        <v>5.85</v>
      </c>
      <c r="U1121" s="270">
        <v>0.46</v>
      </c>
    </row>
    <row r="1122" spans="2:21" ht="17.399999999999999" thickTop="1" thickBot="1">
      <c r="B1122" s="216">
        <v>111.6</v>
      </c>
      <c r="T1122" s="270">
        <v>5.86</v>
      </c>
      <c r="U1122" s="270">
        <v>0.46</v>
      </c>
    </row>
    <row r="1123" spans="2:21" ht="17.399999999999999" thickTop="1" thickBot="1">
      <c r="B1123" s="103">
        <v>111.7</v>
      </c>
      <c r="T1123" s="270">
        <v>5.87</v>
      </c>
      <c r="U1123" s="270">
        <v>0.46</v>
      </c>
    </row>
    <row r="1124" spans="2:21" ht="17.399999999999999" thickTop="1" thickBot="1">
      <c r="B1124" s="216">
        <v>111.8</v>
      </c>
      <c r="T1124" s="270">
        <v>5.88</v>
      </c>
      <c r="U1124" s="270">
        <v>0.46</v>
      </c>
    </row>
    <row r="1125" spans="2:21" ht="17.399999999999999" thickTop="1" thickBot="1">
      <c r="B1125" s="103">
        <v>111.9</v>
      </c>
      <c r="T1125" s="270">
        <v>5.89</v>
      </c>
      <c r="U1125" s="270">
        <v>0.46</v>
      </c>
    </row>
    <row r="1126" spans="2:21" ht="17.399999999999999" thickTop="1" thickBot="1">
      <c r="B1126" s="216">
        <v>112</v>
      </c>
      <c r="T1126" s="270">
        <v>5.9</v>
      </c>
      <c r="U1126" s="270">
        <v>0.46</v>
      </c>
    </row>
    <row r="1127" spans="2:21" ht="17.399999999999999" thickTop="1" thickBot="1">
      <c r="B1127" s="103">
        <v>112.1</v>
      </c>
      <c r="T1127" s="270">
        <v>5.91</v>
      </c>
      <c r="U1127" s="270">
        <v>0.47</v>
      </c>
    </row>
    <row r="1128" spans="2:21" ht="17.399999999999999" thickTop="1" thickBot="1">
      <c r="B1128" s="216">
        <v>112.2</v>
      </c>
      <c r="T1128" s="270">
        <v>5.92</v>
      </c>
      <c r="U1128" s="270">
        <v>0.47</v>
      </c>
    </row>
    <row r="1129" spans="2:21" ht="17.399999999999999" thickTop="1" thickBot="1">
      <c r="B1129" s="103">
        <v>112.3</v>
      </c>
      <c r="T1129" s="270">
        <v>5.93</v>
      </c>
      <c r="U1129" s="270">
        <v>0.47</v>
      </c>
    </row>
    <row r="1130" spans="2:21" ht="17.399999999999999" thickTop="1" thickBot="1">
      <c r="B1130" s="216">
        <v>112.4</v>
      </c>
      <c r="T1130" s="270">
        <v>5.94</v>
      </c>
      <c r="U1130" s="270">
        <v>0.47</v>
      </c>
    </row>
    <row r="1131" spans="2:21" ht="17.399999999999999" thickTop="1" thickBot="1">
      <c r="B1131" s="103">
        <v>112.5</v>
      </c>
      <c r="T1131" s="270">
        <v>5.95</v>
      </c>
      <c r="U1131" s="270">
        <v>0.47</v>
      </c>
    </row>
    <row r="1132" spans="2:21" ht="17.399999999999999" thickTop="1" thickBot="1">
      <c r="B1132" s="216">
        <v>112.6</v>
      </c>
      <c r="T1132" s="270">
        <v>5.97</v>
      </c>
      <c r="U1132" s="270">
        <v>0.47</v>
      </c>
    </row>
    <row r="1133" spans="2:21" ht="17.399999999999999" thickTop="1" thickBot="1">
      <c r="B1133" s="103">
        <v>112.7</v>
      </c>
      <c r="T1133" s="270">
        <v>5.98</v>
      </c>
      <c r="U1133" s="270">
        <v>0.47</v>
      </c>
    </row>
    <row r="1134" spans="2:21" ht="17.399999999999999" thickTop="1" thickBot="1">
      <c r="B1134" s="216">
        <v>112.8</v>
      </c>
      <c r="T1134" s="270">
        <v>5.99</v>
      </c>
      <c r="U1134" s="270">
        <v>0.47</v>
      </c>
    </row>
    <row r="1135" spans="2:21" ht="17.399999999999999" thickTop="1" thickBot="1">
      <c r="B1135" s="103">
        <v>112.9</v>
      </c>
      <c r="T1135" s="270">
        <v>6</v>
      </c>
      <c r="U1135" s="270">
        <v>0.47</v>
      </c>
    </row>
    <row r="1136" spans="2:21" ht="17.399999999999999" thickTop="1" thickBot="1">
      <c r="B1136" s="216">
        <v>113</v>
      </c>
      <c r="T1136" s="270">
        <v>6.01</v>
      </c>
      <c r="U1136" s="270">
        <v>0.47</v>
      </c>
    </row>
    <row r="1137" spans="2:21" ht="17.399999999999999" thickTop="1" thickBot="1">
      <c r="B1137" s="103">
        <v>113.1</v>
      </c>
      <c r="T1137" s="270">
        <v>6.02</v>
      </c>
      <c r="U1137" s="270">
        <v>0.47</v>
      </c>
    </row>
    <row r="1138" spans="2:21" ht="17.399999999999999" thickTop="1" thickBot="1">
      <c r="B1138" s="216">
        <v>113.2</v>
      </c>
      <c r="T1138" s="270">
        <v>6.03</v>
      </c>
      <c r="U1138" s="270">
        <v>0.47</v>
      </c>
    </row>
    <row r="1139" spans="2:21" ht="17.399999999999999" thickTop="1" thickBot="1">
      <c r="B1139" s="103">
        <v>113.3</v>
      </c>
      <c r="T1139" s="270">
        <v>6.04</v>
      </c>
      <c r="U1139" s="270">
        <v>0.48</v>
      </c>
    </row>
    <row r="1140" spans="2:21" ht="17.399999999999999" thickTop="1" thickBot="1">
      <c r="B1140" s="216">
        <v>113.4</v>
      </c>
      <c r="T1140" s="270">
        <v>6.05</v>
      </c>
      <c r="U1140" s="270">
        <v>0.48</v>
      </c>
    </row>
    <row r="1141" spans="2:21" ht="17.399999999999999" thickTop="1" thickBot="1">
      <c r="B1141" s="103">
        <v>113.5</v>
      </c>
      <c r="T1141" s="270">
        <v>6.06</v>
      </c>
      <c r="U1141" s="270">
        <v>0.48</v>
      </c>
    </row>
    <row r="1142" spans="2:21" ht="17.399999999999999" thickTop="1" thickBot="1">
      <c r="B1142" s="216">
        <v>113.6</v>
      </c>
      <c r="T1142" s="270">
        <v>6.07</v>
      </c>
      <c r="U1142" s="270">
        <v>0.48</v>
      </c>
    </row>
    <row r="1143" spans="2:21" ht="17.399999999999999" thickTop="1" thickBot="1">
      <c r="B1143" s="103">
        <v>113.7</v>
      </c>
      <c r="T1143" s="270">
        <v>6.08</v>
      </c>
      <c r="U1143" s="270">
        <v>0.48</v>
      </c>
    </row>
    <row r="1144" spans="2:21" ht="17.399999999999999" thickTop="1" thickBot="1">
      <c r="B1144" s="216">
        <v>113.8</v>
      </c>
      <c r="T1144" s="270">
        <v>6.09</v>
      </c>
      <c r="U1144" s="270">
        <v>0.48</v>
      </c>
    </row>
    <row r="1145" spans="2:21" ht="17.399999999999999" thickTop="1" thickBot="1">
      <c r="B1145" s="103">
        <v>113.9</v>
      </c>
      <c r="T1145" s="270">
        <v>6.1</v>
      </c>
      <c r="U1145" s="270">
        <v>0.48</v>
      </c>
    </row>
    <row r="1146" spans="2:21" ht="17.399999999999999" thickTop="1" thickBot="1">
      <c r="B1146" s="216">
        <v>114</v>
      </c>
      <c r="T1146" s="270">
        <v>6.11</v>
      </c>
      <c r="U1146" s="270">
        <v>0.48</v>
      </c>
    </row>
    <row r="1147" spans="2:21" ht="17.399999999999999" thickTop="1" thickBot="1">
      <c r="B1147" s="103">
        <v>114.1</v>
      </c>
      <c r="T1147" s="270">
        <v>6.12</v>
      </c>
      <c r="U1147" s="270">
        <v>0.48</v>
      </c>
    </row>
    <row r="1148" spans="2:21" ht="17.399999999999999" thickTop="1" thickBot="1">
      <c r="B1148" s="216">
        <v>114.2</v>
      </c>
      <c r="T1148" s="270">
        <v>6.14</v>
      </c>
      <c r="U1148" s="270">
        <v>0.48</v>
      </c>
    </row>
    <row r="1149" spans="2:21" ht="17.399999999999999" thickTop="1" thickBot="1">
      <c r="B1149" s="103">
        <v>114.3</v>
      </c>
      <c r="T1149" s="270">
        <v>6.15</v>
      </c>
      <c r="U1149" s="270">
        <v>0.48</v>
      </c>
    </row>
    <row r="1150" spans="2:21" ht="17.399999999999999" thickTop="1" thickBot="1">
      <c r="B1150" s="216">
        <v>114.4</v>
      </c>
      <c r="T1150" s="270">
        <v>6.16</v>
      </c>
      <c r="U1150" s="270">
        <v>0.48</v>
      </c>
    </row>
    <row r="1151" spans="2:21" ht="17.399999999999999" thickTop="1" thickBot="1">
      <c r="B1151" s="103">
        <v>114.5</v>
      </c>
      <c r="T1151" s="270">
        <v>6.17</v>
      </c>
      <c r="U1151" s="270">
        <v>0.49</v>
      </c>
    </row>
    <row r="1152" spans="2:21" ht="17.399999999999999" thickTop="1" thickBot="1">
      <c r="B1152" s="216">
        <v>114.6</v>
      </c>
      <c r="T1152" s="270">
        <v>6.18</v>
      </c>
      <c r="U1152" s="270">
        <v>0.49</v>
      </c>
    </row>
    <row r="1153" spans="2:21" ht="17.399999999999999" thickTop="1" thickBot="1">
      <c r="B1153" s="103">
        <v>114.7</v>
      </c>
      <c r="T1153" s="270">
        <v>6.19</v>
      </c>
      <c r="U1153" s="270">
        <v>0.49</v>
      </c>
    </row>
    <row r="1154" spans="2:21" ht="17.399999999999999" thickTop="1" thickBot="1">
      <c r="B1154" s="216">
        <v>114.8</v>
      </c>
      <c r="T1154" s="270">
        <v>6.2</v>
      </c>
      <c r="U1154" s="270">
        <v>0.49</v>
      </c>
    </row>
    <row r="1155" spans="2:21" ht="17.399999999999999" thickTop="1" thickBot="1">
      <c r="B1155" s="103">
        <v>114.9</v>
      </c>
      <c r="T1155" s="270">
        <v>6.21</v>
      </c>
      <c r="U1155" s="270">
        <v>0.49</v>
      </c>
    </row>
    <row r="1156" spans="2:21" ht="17.399999999999999" thickTop="1" thickBot="1">
      <c r="B1156" s="216">
        <v>115</v>
      </c>
      <c r="T1156" s="270">
        <v>6.22</v>
      </c>
      <c r="U1156" s="270">
        <v>0.49</v>
      </c>
    </row>
    <row r="1157" spans="2:21" ht="17.399999999999999" thickTop="1" thickBot="1">
      <c r="B1157" s="103">
        <v>115.1</v>
      </c>
      <c r="T1157" s="270">
        <v>6.23</v>
      </c>
      <c r="U1157" s="270">
        <v>0.49</v>
      </c>
    </row>
    <row r="1158" spans="2:21" ht="17.399999999999999" thickTop="1" thickBot="1">
      <c r="B1158" s="216">
        <v>115.2</v>
      </c>
      <c r="T1158" s="270">
        <v>6.24</v>
      </c>
      <c r="U1158" s="270">
        <v>0.49</v>
      </c>
    </row>
    <row r="1159" spans="2:21" ht="17.399999999999999" thickTop="1" thickBot="1">
      <c r="B1159" s="103">
        <v>115.3</v>
      </c>
      <c r="T1159" s="270">
        <v>6.25</v>
      </c>
      <c r="U1159" s="270">
        <v>0.49</v>
      </c>
    </row>
    <row r="1160" spans="2:21" ht="17.399999999999999" thickTop="1" thickBot="1">
      <c r="B1160" s="216">
        <v>115.4</v>
      </c>
      <c r="T1160" s="270">
        <v>6.27</v>
      </c>
      <c r="U1160" s="270">
        <v>0.49</v>
      </c>
    </row>
    <row r="1161" spans="2:21" ht="17.399999999999999" thickTop="1" thickBot="1">
      <c r="B1161" s="103">
        <v>115.5</v>
      </c>
      <c r="T1161" s="270">
        <v>6.28</v>
      </c>
      <c r="U1161" s="270">
        <v>0.49</v>
      </c>
    </row>
    <row r="1162" spans="2:21" ht="17.399999999999999" thickTop="1" thickBot="1">
      <c r="B1162" s="216">
        <v>115.6</v>
      </c>
      <c r="T1162" s="270">
        <v>6.29</v>
      </c>
      <c r="U1162" s="270">
        <v>0.49</v>
      </c>
    </row>
    <row r="1163" spans="2:21" ht="17.399999999999999" thickTop="1" thickBot="1">
      <c r="B1163" s="103">
        <v>115.7</v>
      </c>
      <c r="T1163" s="270">
        <v>6.3</v>
      </c>
      <c r="U1163" s="270">
        <v>0.5</v>
      </c>
    </row>
    <row r="1164" spans="2:21" ht="17.399999999999999" thickTop="1" thickBot="1">
      <c r="B1164" s="216">
        <v>115.8</v>
      </c>
      <c r="T1164" s="270">
        <v>6.31</v>
      </c>
      <c r="U1164" s="270">
        <v>0.5</v>
      </c>
    </row>
    <row r="1165" spans="2:21" ht="17.399999999999999" thickTop="1" thickBot="1">
      <c r="B1165" s="103">
        <v>115.9</v>
      </c>
      <c r="T1165" s="270">
        <v>6.32</v>
      </c>
      <c r="U1165" s="270">
        <v>0.5</v>
      </c>
    </row>
    <row r="1166" spans="2:21" ht="17.399999999999999" thickTop="1" thickBot="1">
      <c r="B1166" s="216">
        <v>116</v>
      </c>
      <c r="T1166" s="270">
        <v>6.33</v>
      </c>
      <c r="U1166" s="270">
        <v>0.5</v>
      </c>
    </row>
    <row r="1167" spans="2:21" ht="17.399999999999999" thickTop="1" thickBot="1">
      <c r="B1167" s="103">
        <v>116.1</v>
      </c>
      <c r="T1167" s="270">
        <v>6.34</v>
      </c>
      <c r="U1167" s="270">
        <v>0.5</v>
      </c>
    </row>
    <row r="1168" spans="2:21" ht="17.399999999999999" thickTop="1" thickBot="1">
      <c r="B1168" s="216">
        <v>116.2</v>
      </c>
      <c r="T1168" s="270">
        <v>6.35</v>
      </c>
      <c r="U1168" s="270">
        <v>0.5</v>
      </c>
    </row>
    <row r="1169" spans="2:21" ht="17.399999999999999" thickTop="1" thickBot="1">
      <c r="B1169" s="103">
        <v>116.3</v>
      </c>
      <c r="T1169" s="270">
        <v>6.36</v>
      </c>
      <c r="U1169" s="270">
        <v>0.5</v>
      </c>
    </row>
    <row r="1170" spans="2:21" ht="17.399999999999999" thickTop="1" thickBot="1">
      <c r="B1170" s="216">
        <v>116.4</v>
      </c>
      <c r="T1170" s="270">
        <v>6.37</v>
      </c>
      <c r="U1170" s="270">
        <v>0.5</v>
      </c>
    </row>
    <row r="1171" spans="2:21" ht="17.399999999999999" thickTop="1" thickBot="1">
      <c r="B1171" s="103">
        <v>116.5</v>
      </c>
      <c r="T1171" s="270">
        <v>6.39</v>
      </c>
      <c r="U1171" s="270">
        <v>0.5</v>
      </c>
    </row>
    <row r="1172" spans="2:21" ht="17.399999999999999" thickTop="1" thickBot="1">
      <c r="B1172" s="216">
        <v>116.6</v>
      </c>
      <c r="T1172" s="270">
        <v>6.4</v>
      </c>
      <c r="U1172" s="270">
        <v>0.5</v>
      </c>
    </row>
    <row r="1173" spans="2:21" ht="17.399999999999999" thickTop="1" thickBot="1">
      <c r="B1173" s="103">
        <v>116.7</v>
      </c>
      <c r="T1173" s="270">
        <v>6.41</v>
      </c>
      <c r="U1173" s="270">
        <v>0.5</v>
      </c>
    </row>
    <row r="1174" spans="2:21" ht="17.399999999999999" thickTop="1" thickBot="1">
      <c r="B1174" s="216">
        <v>116.8</v>
      </c>
      <c r="T1174" s="270">
        <v>6.42</v>
      </c>
      <c r="U1174" s="270">
        <v>0.5</v>
      </c>
    </row>
    <row r="1175" spans="2:21" ht="17.399999999999999" thickTop="1" thickBot="1">
      <c r="B1175" s="103">
        <v>116.9</v>
      </c>
      <c r="T1175" s="270">
        <v>6.43</v>
      </c>
      <c r="U1175" s="270">
        <v>0.51</v>
      </c>
    </row>
    <row r="1176" spans="2:21" ht="17.399999999999999" thickTop="1" thickBot="1">
      <c r="B1176" s="216">
        <v>117</v>
      </c>
      <c r="T1176" s="270">
        <v>6.44</v>
      </c>
      <c r="U1176" s="270">
        <v>0.51</v>
      </c>
    </row>
    <row r="1177" spans="2:21" ht="17.399999999999999" thickTop="1" thickBot="1">
      <c r="B1177" s="103">
        <v>117.1</v>
      </c>
      <c r="T1177" s="270">
        <v>6.45</v>
      </c>
      <c r="U1177" s="270">
        <v>0.51</v>
      </c>
    </row>
    <row r="1178" spans="2:21" ht="17.399999999999999" thickTop="1" thickBot="1">
      <c r="B1178" s="216">
        <v>117.2</v>
      </c>
      <c r="T1178" s="270">
        <v>6.46</v>
      </c>
      <c r="U1178" s="270">
        <v>0.51</v>
      </c>
    </row>
    <row r="1179" spans="2:21" ht="17.399999999999999" thickTop="1" thickBot="1">
      <c r="B1179" s="103">
        <v>117.3</v>
      </c>
      <c r="T1179" s="270">
        <v>6.47</v>
      </c>
      <c r="U1179" s="270">
        <v>0.51</v>
      </c>
    </row>
    <row r="1180" spans="2:21" ht="17.399999999999999" thickTop="1" thickBot="1">
      <c r="B1180" s="216">
        <v>117.4</v>
      </c>
      <c r="T1180" s="270">
        <v>6.48</v>
      </c>
      <c r="U1180" s="270">
        <v>0.51</v>
      </c>
    </row>
    <row r="1181" spans="2:21" ht="17.399999999999999" thickTop="1" thickBot="1">
      <c r="B1181" s="103">
        <v>117.5</v>
      </c>
      <c r="T1181" s="270">
        <v>6.5</v>
      </c>
      <c r="U1181" s="270">
        <v>0.51</v>
      </c>
    </row>
    <row r="1182" spans="2:21" ht="17.399999999999999" thickTop="1" thickBot="1">
      <c r="B1182" s="216">
        <v>117.6</v>
      </c>
      <c r="T1182" s="270">
        <v>6.51</v>
      </c>
      <c r="U1182" s="270">
        <v>0.51</v>
      </c>
    </row>
    <row r="1183" spans="2:21" ht="17.399999999999999" thickTop="1" thickBot="1">
      <c r="B1183" s="103">
        <v>117.7</v>
      </c>
      <c r="T1183" s="270">
        <v>6.52</v>
      </c>
      <c r="U1183" s="270">
        <v>0.51</v>
      </c>
    </row>
    <row r="1184" spans="2:21" ht="17.399999999999999" thickTop="1" thickBot="1">
      <c r="B1184" s="216">
        <v>117.8</v>
      </c>
      <c r="T1184" s="270">
        <v>6.53</v>
      </c>
      <c r="U1184" s="270">
        <v>0.51</v>
      </c>
    </row>
    <row r="1185" spans="2:21" ht="17.399999999999999" thickTop="1" thickBot="1">
      <c r="B1185" s="103">
        <v>117.9</v>
      </c>
      <c r="T1185" s="270">
        <v>6.54</v>
      </c>
      <c r="U1185" s="270">
        <v>0.51</v>
      </c>
    </row>
    <row r="1186" spans="2:21" ht="17.399999999999999" thickTop="1" thickBot="1">
      <c r="B1186" s="216">
        <v>118</v>
      </c>
      <c r="T1186" s="270">
        <v>6.55</v>
      </c>
      <c r="U1186" s="270">
        <v>0.52</v>
      </c>
    </row>
    <row r="1187" spans="2:21" ht="17.399999999999999" thickTop="1" thickBot="1">
      <c r="B1187" s="103">
        <v>118.1</v>
      </c>
      <c r="T1187" s="270">
        <v>6.56</v>
      </c>
      <c r="U1187" s="270">
        <v>0.52</v>
      </c>
    </row>
    <row r="1188" spans="2:21" ht="17.399999999999999" thickTop="1" thickBot="1">
      <c r="B1188" s="216">
        <v>118.2</v>
      </c>
      <c r="T1188" s="270">
        <v>6.57</v>
      </c>
      <c r="U1188" s="270">
        <v>0.52</v>
      </c>
    </row>
    <row r="1189" spans="2:21" ht="17.399999999999999" thickTop="1" thickBot="1">
      <c r="B1189" s="103">
        <v>118.3</v>
      </c>
      <c r="T1189" s="270">
        <v>6.58</v>
      </c>
      <c r="U1189" s="270">
        <v>0.52</v>
      </c>
    </row>
    <row r="1190" spans="2:21" ht="17.399999999999999" thickTop="1" thickBot="1">
      <c r="B1190" s="216">
        <v>118.4</v>
      </c>
      <c r="T1190" s="270">
        <v>6.6</v>
      </c>
      <c r="U1190" s="270">
        <v>0.52</v>
      </c>
    </row>
    <row r="1191" spans="2:21" ht="17.399999999999999" thickTop="1" thickBot="1">
      <c r="B1191" s="103">
        <v>118.5</v>
      </c>
      <c r="T1191" s="270">
        <v>6.61</v>
      </c>
      <c r="U1191" s="270">
        <v>0.52</v>
      </c>
    </row>
    <row r="1192" spans="2:21" ht="17.399999999999999" thickTop="1" thickBot="1">
      <c r="B1192" s="216">
        <v>118.6</v>
      </c>
      <c r="T1192" s="270">
        <v>6.62</v>
      </c>
      <c r="U1192" s="270">
        <v>0.52</v>
      </c>
    </row>
    <row r="1193" spans="2:21" ht="17.399999999999999" thickTop="1" thickBot="1">
      <c r="B1193" s="103">
        <v>118.7</v>
      </c>
      <c r="T1193" s="270">
        <v>6.63</v>
      </c>
      <c r="U1193" s="270">
        <v>0.52</v>
      </c>
    </row>
    <row r="1194" spans="2:21" ht="17.399999999999999" thickTop="1" thickBot="1">
      <c r="B1194" s="216">
        <v>118.8</v>
      </c>
      <c r="T1194" s="270">
        <v>6.64</v>
      </c>
      <c r="U1194" s="270">
        <v>0.52</v>
      </c>
    </row>
    <row r="1195" spans="2:21" ht="17.399999999999999" thickTop="1" thickBot="1">
      <c r="B1195" s="103">
        <v>118.9</v>
      </c>
      <c r="T1195" s="270">
        <v>6.65</v>
      </c>
      <c r="U1195" s="270">
        <v>0.52</v>
      </c>
    </row>
    <row r="1196" spans="2:21" ht="17.399999999999999" thickTop="1" thickBot="1">
      <c r="B1196" s="216">
        <v>119</v>
      </c>
      <c r="T1196" s="270">
        <v>6.66</v>
      </c>
      <c r="U1196" s="270">
        <v>0.52</v>
      </c>
    </row>
    <row r="1197" spans="2:21" ht="17.399999999999999" thickTop="1" thickBot="1">
      <c r="B1197" s="103">
        <v>119.1</v>
      </c>
      <c r="T1197" s="270">
        <v>6.67</v>
      </c>
      <c r="U1197" s="270">
        <v>0.52</v>
      </c>
    </row>
    <row r="1198" spans="2:21" ht="17.399999999999999" thickTop="1" thickBot="1">
      <c r="B1198" s="216">
        <v>119.2</v>
      </c>
      <c r="T1198" s="270">
        <v>6.68</v>
      </c>
      <c r="U1198" s="270">
        <v>0.53</v>
      </c>
    </row>
    <row r="1199" spans="2:21" ht="17.399999999999999" thickTop="1" thickBot="1">
      <c r="B1199" s="103">
        <v>119.3</v>
      </c>
      <c r="T1199" s="270">
        <v>6.7</v>
      </c>
      <c r="U1199" s="270">
        <v>0.53</v>
      </c>
    </row>
    <row r="1200" spans="2:21" ht="17.399999999999999" thickTop="1" thickBot="1">
      <c r="B1200" s="216">
        <v>119.4</v>
      </c>
      <c r="T1200" s="270">
        <v>6.71</v>
      </c>
      <c r="U1200" s="270">
        <v>0.53</v>
      </c>
    </row>
    <row r="1201" spans="2:21" ht="17.399999999999999" thickTop="1" thickBot="1">
      <c r="B1201" s="103">
        <v>119.5</v>
      </c>
      <c r="T1201" s="270">
        <v>6.72</v>
      </c>
      <c r="U1201" s="270">
        <v>0.53</v>
      </c>
    </row>
    <row r="1202" spans="2:21" ht="17.399999999999999" thickTop="1" thickBot="1">
      <c r="B1202" s="216">
        <v>119.6</v>
      </c>
      <c r="T1202" s="270">
        <v>6.73</v>
      </c>
      <c r="U1202" s="270">
        <v>0.53</v>
      </c>
    </row>
    <row r="1203" spans="2:21" ht="17.399999999999999" thickTop="1" thickBot="1">
      <c r="B1203" s="103">
        <v>119.7</v>
      </c>
      <c r="T1203" s="270">
        <v>6.74</v>
      </c>
      <c r="U1203" s="270">
        <v>0.53</v>
      </c>
    </row>
    <row r="1204" spans="2:21" ht="17.399999999999999" thickTop="1" thickBot="1">
      <c r="B1204" s="216">
        <v>119.8</v>
      </c>
      <c r="T1204" s="270">
        <v>6.75</v>
      </c>
      <c r="U1204" s="270">
        <v>0.53</v>
      </c>
    </row>
    <row r="1205" spans="2:21" ht="17.399999999999999" thickTop="1" thickBot="1">
      <c r="B1205" s="103">
        <v>119.9</v>
      </c>
      <c r="T1205" s="270">
        <v>6.76</v>
      </c>
      <c r="U1205" s="270">
        <v>0.53</v>
      </c>
    </row>
    <row r="1206" spans="2:21" ht="17.399999999999999" thickTop="1" thickBot="1">
      <c r="B1206" s="216">
        <v>120</v>
      </c>
      <c r="T1206" s="270">
        <v>6.77</v>
      </c>
      <c r="U1206" s="270">
        <v>0.53</v>
      </c>
    </row>
    <row r="1207" spans="2:21" ht="17.399999999999999" thickTop="1" thickBot="1">
      <c r="B1207" s="103">
        <v>120.1</v>
      </c>
      <c r="T1207" s="270">
        <v>6.79</v>
      </c>
      <c r="U1207" s="270">
        <v>0.53</v>
      </c>
    </row>
    <row r="1208" spans="2:21" ht="17.399999999999999" thickTop="1" thickBot="1">
      <c r="B1208" s="216">
        <v>120.2</v>
      </c>
      <c r="T1208" s="270">
        <v>6.8</v>
      </c>
      <c r="U1208" s="270">
        <v>0.53</v>
      </c>
    </row>
    <row r="1209" spans="2:21" ht="17.399999999999999" thickTop="1" thickBot="1">
      <c r="B1209" s="103">
        <v>120.3</v>
      </c>
      <c r="T1209" s="270">
        <v>6.81</v>
      </c>
      <c r="U1209" s="270">
        <v>0.54</v>
      </c>
    </row>
    <row r="1210" spans="2:21" ht="17.399999999999999" thickTop="1" thickBot="1">
      <c r="B1210" s="216">
        <v>120.4</v>
      </c>
      <c r="T1210" s="270">
        <v>6.82</v>
      </c>
      <c r="U1210" s="270">
        <v>0.54</v>
      </c>
    </row>
    <row r="1211" spans="2:21" ht="17.399999999999999" thickTop="1" thickBot="1">
      <c r="B1211" s="103">
        <v>120.5</v>
      </c>
      <c r="T1211" s="270">
        <v>6.83</v>
      </c>
      <c r="U1211" s="270">
        <v>0.54</v>
      </c>
    </row>
    <row r="1212" spans="2:21" ht="17.399999999999999" thickTop="1" thickBot="1">
      <c r="B1212" s="216">
        <v>120.6</v>
      </c>
      <c r="T1212" s="270">
        <v>6.84</v>
      </c>
      <c r="U1212" s="270">
        <v>0.54</v>
      </c>
    </row>
    <row r="1213" spans="2:21" ht="17.399999999999999" thickTop="1" thickBot="1">
      <c r="B1213" s="103">
        <v>120.7</v>
      </c>
      <c r="T1213" s="270">
        <v>6.85</v>
      </c>
      <c r="U1213" s="270">
        <v>0.54</v>
      </c>
    </row>
    <row r="1214" spans="2:21" ht="17.399999999999999" thickTop="1" thickBot="1">
      <c r="B1214" s="216">
        <v>120.8</v>
      </c>
      <c r="T1214" s="270">
        <v>6.87</v>
      </c>
      <c r="U1214" s="270">
        <v>0.54</v>
      </c>
    </row>
    <row r="1215" spans="2:21" ht="17.399999999999999" thickTop="1" thickBot="1">
      <c r="B1215" s="103">
        <v>120.9</v>
      </c>
      <c r="T1215" s="270">
        <v>6.88</v>
      </c>
      <c r="U1215" s="270">
        <v>0.54</v>
      </c>
    </row>
    <row r="1216" spans="2:21" ht="17.399999999999999" thickTop="1" thickBot="1">
      <c r="B1216" s="216">
        <v>121</v>
      </c>
      <c r="T1216" s="270">
        <v>6.89</v>
      </c>
      <c r="U1216" s="270">
        <v>0.54</v>
      </c>
    </row>
    <row r="1217" spans="2:21" ht="17.399999999999999" thickTop="1" thickBot="1">
      <c r="B1217" s="103">
        <v>121.1</v>
      </c>
      <c r="T1217" s="270">
        <v>6.9</v>
      </c>
      <c r="U1217" s="270">
        <v>0.54</v>
      </c>
    </row>
    <row r="1218" spans="2:21" ht="17.399999999999999" thickTop="1" thickBot="1">
      <c r="B1218" s="216">
        <v>121.2</v>
      </c>
      <c r="T1218" s="270">
        <v>6.91</v>
      </c>
      <c r="U1218" s="270">
        <v>0.54</v>
      </c>
    </row>
    <row r="1219" spans="2:21" ht="17.399999999999999" thickTop="1" thickBot="1">
      <c r="B1219" s="103">
        <v>121.3</v>
      </c>
      <c r="T1219" s="270">
        <v>6.92</v>
      </c>
      <c r="U1219" s="270">
        <v>0.54</v>
      </c>
    </row>
    <row r="1220" spans="2:21" ht="17.399999999999999" thickTop="1" thickBot="1">
      <c r="B1220" s="216">
        <v>121.4</v>
      </c>
      <c r="T1220" s="270">
        <v>6.93</v>
      </c>
      <c r="U1220" s="270">
        <v>0.55000000000000004</v>
      </c>
    </row>
    <row r="1221" spans="2:21" ht="17.399999999999999" thickTop="1" thickBot="1">
      <c r="B1221" s="103">
        <v>121.5</v>
      </c>
      <c r="T1221" s="270">
        <v>6.95</v>
      </c>
      <c r="U1221" s="270">
        <v>0.55000000000000004</v>
      </c>
    </row>
    <row r="1222" spans="2:21" ht="17.399999999999999" thickTop="1" thickBot="1">
      <c r="B1222" s="216">
        <v>121.6</v>
      </c>
      <c r="T1222" s="270">
        <v>6.96</v>
      </c>
      <c r="U1222" s="270">
        <v>0.55000000000000004</v>
      </c>
    </row>
    <row r="1223" spans="2:21" ht="17.399999999999999" thickTop="1" thickBot="1">
      <c r="B1223" s="103">
        <v>121.7</v>
      </c>
      <c r="T1223" s="270">
        <v>6.97</v>
      </c>
      <c r="U1223" s="270">
        <v>0.55000000000000004</v>
      </c>
    </row>
    <row r="1224" spans="2:21" ht="17.399999999999999" thickTop="1" thickBot="1">
      <c r="B1224" s="216">
        <v>121.8</v>
      </c>
      <c r="T1224" s="270">
        <v>6.98</v>
      </c>
      <c r="U1224" s="270">
        <v>0.55000000000000004</v>
      </c>
    </row>
    <row r="1225" spans="2:21" ht="17.399999999999999" thickTop="1" thickBot="1">
      <c r="B1225" s="103">
        <v>121.9</v>
      </c>
      <c r="T1225" s="270">
        <v>6.99</v>
      </c>
      <c r="U1225" s="270">
        <v>0.55000000000000004</v>
      </c>
    </row>
    <row r="1226" spans="2:21" ht="17.399999999999999" thickTop="1" thickBot="1">
      <c r="B1226" s="216">
        <v>122</v>
      </c>
      <c r="T1226" s="270">
        <v>7</v>
      </c>
      <c r="U1226" s="270">
        <v>0.55000000000000004</v>
      </c>
    </row>
    <row r="1227" spans="2:21" ht="17.399999999999999" thickTop="1" thickBot="1">
      <c r="B1227" s="103">
        <v>122.1</v>
      </c>
      <c r="T1227" s="270">
        <v>7.01</v>
      </c>
      <c r="U1227" s="270">
        <v>0.55000000000000004</v>
      </c>
    </row>
    <row r="1228" spans="2:21" ht="17.399999999999999" thickTop="1" thickBot="1">
      <c r="B1228" s="216">
        <v>122.2</v>
      </c>
      <c r="T1228" s="270">
        <v>7.03</v>
      </c>
      <c r="U1228" s="270">
        <v>0.55000000000000004</v>
      </c>
    </row>
    <row r="1229" spans="2:21" ht="17.399999999999999" thickTop="1" thickBot="1">
      <c r="B1229" s="103">
        <v>122.3</v>
      </c>
      <c r="T1229" s="270">
        <v>7.04</v>
      </c>
      <c r="U1229" s="270">
        <v>0.55000000000000004</v>
      </c>
    </row>
    <row r="1230" spans="2:21" ht="17.399999999999999" thickTop="1" thickBot="1">
      <c r="B1230" s="216">
        <v>122.4</v>
      </c>
      <c r="T1230" s="270">
        <v>7.05</v>
      </c>
      <c r="U1230" s="270">
        <v>0.55000000000000004</v>
      </c>
    </row>
    <row r="1231" spans="2:21" ht="17.399999999999999" thickTop="1" thickBot="1">
      <c r="B1231" s="103">
        <v>122.5</v>
      </c>
      <c r="T1231" s="270">
        <v>7.06</v>
      </c>
      <c r="U1231" s="270">
        <v>0.56000000000000005</v>
      </c>
    </row>
    <row r="1232" spans="2:21" ht="17.399999999999999" thickTop="1" thickBot="1">
      <c r="B1232" s="216">
        <v>122.6</v>
      </c>
      <c r="T1232" s="270">
        <v>7.07</v>
      </c>
      <c r="U1232" s="270">
        <v>0.56000000000000005</v>
      </c>
    </row>
    <row r="1233" spans="2:21" ht="17.399999999999999" thickTop="1" thickBot="1">
      <c r="B1233" s="103">
        <v>122.7</v>
      </c>
      <c r="T1233" s="270">
        <v>7.08</v>
      </c>
      <c r="U1233" s="270">
        <v>0.56000000000000005</v>
      </c>
    </row>
    <row r="1234" spans="2:21" ht="17.399999999999999" thickTop="1" thickBot="1">
      <c r="B1234" s="216">
        <v>122.8</v>
      </c>
      <c r="T1234" s="270">
        <v>7.09</v>
      </c>
      <c r="U1234" s="270">
        <v>0.56000000000000005</v>
      </c>
    </row>
    <row r="1235" spans="2:21" ht="17.399999999999999" thickTop="1" thickBot="1">
      <c r="B1235" s="103">
        <v>122.9</v>
      </c>
      <c r="T1235" s="270">
        <v>7.11</v>
      </c>
      <c r="U1235" s="270">
        <v>0.56000000000000005</v>
      </c>
    </row>
    <row r="1236" spans="2:21" ht="17.399999999999999" thickTop="1" thickBot="1">
      <c r="B1236" s="216">
        <v>123</v>
      </c>
      <c r="T1236" s="270">
        <v>7.12</v>
      </c>
      <c r="U1236" s="270">
        <v>0.56000000000000005</v>
      </c>
    </row>
    <row r="1237" spans="2:21" ht="17.399999999999999" thickTop="1" thickBot="1">
      <c r="B1237" s="103">
        <v>123.1</v>
      </c>
      <c r="T1237" s="270">
        <v>7.13</v>
      </c>
      <c r="U1237" s="270">
        <v>0.56000000000000005</v>
      </c>
    </row>
    <row r="1238" spans="2:21" ht="17.399999999999999" thickTop="1" thickBot="1">
      <c r="B1238" s="216">
        <v>123.2</v>
      </c>
      <c r="T1238" s="270">
        <v>7.14</v>
      </c>
      <c r="U1238" s="270">
        <v>0.56000000000000005</v>
      </c>
    </row>
    <row r="1239" spans="2:21" ht="17.399999999999999" thickTop="1" thickBot="1">
      <c r="B1239" s="103">
        <v>123.3</v>
      </c>
      <c r="T1239" s="270">
        <v>7.15</v>
      </c>
      <c r="U1239" s="270">
        <v>0.56000000000000005</v>
      </c>
    </row>
    <row r="1240" spans="2:21" ht="17.399999999999999" thickTop="1" thickBot="1">
      <c r="B1240" s="216">
        <v>123.4</v>
      </c>
      <c r="T1240" s="270">
        <v>7.16</v>
      </c>
      <c r="U1240" s="270">
        <v>0.56000000000000005</v>
      </c>
    </row>
    <row r="1241" spans="2:21" ht="17.399999999999999" thickTop="1" thickBot="1">
      <c r="B1241" s="103">
        <v>123.5</v>
      </c>
      <c r="T1241" s="270">
        <v>7.18</v>
      </c>
      <c r="U1241" s="270">
        <v>0.56000000000000005</v>
      </c>
    </row>
    <row r="1242" spans="2:21" ht="17.399999999999999" thickTop="1" thickBot="1">
      <c r="B1242" s="216">
        <v>123.6</v>
      </c>
      <c r="T1242" s="270">
        <v>7.19</v>
      </c>
      <c r="U1242" s="270">
        <v>0.56999999999999995</v>
      </c>
    </row>
    <row r="1243" spans="2:21" ht="17.399999999999999" thickTop="1" thickBot="1">
      <c r="B1243" s="103">
        <v>123.7</v>
      </c>
      <c r="T1243" s="270">
        <v>7.2</v>
      </c>
      <c r="U1243" s="270">
        <v>0.56999999999999995</v>
      </c>
    </row>
    <row r="1244" spans="2:21" ht="17.399999999999999" thickTop="1" thickBot="1">
      <c r="B1244" s="216">
        <v>123.8</v>
      </c>
      <c r="T1244" s="270">
        <v>7.21</v>
      </c>
      <c r="U1244" s="270">
        <v>0.56999999999999995</v>
      </c>
    </row>
    <row r="1245" spans="2:21" ht="17.399999999999999" thickTop="1" thickBot="1">
      <c r="B1245" s="103">
        <v>123.9</v>
      </c>
      <c r="T1245" s="270">
        <v>7.22</v>
      </c>
      <c r="U1245" s="270">
        <v>0.56999999999999995</v>
      </c>
    </row>
    <row r="1246" spans="2:21" ht="17.399999999999999" thickTop="1" thickBot="1">
      <c r="B1246" s="216">
        <v>124</v>
      </c>
      <c r="T1246" s="270">
        <v>7.23</v>
      </c>
      <c r="U1246" s="270">
        <v>0.56999999999999995</v>
      </c>
    </row>
    <row r="1247" spans="2:21" ht="17.399999999999999" thickTop="1" thickBot="1">
      <c r="B1247" s="103">
        <v>124.1</v>
      </c>
      <c r="T1247" s="270">
        <v>7.25</v>
      </c>
      <c r="U1247" s="270">
        <v>0.56999999999999995</v>
      </c>
    </row>
    <row r="1248" spans="2:21" ht="17.399999999999999" thickTop="1" thickBot="1">
      <c r="B1248" s="216">
        <v>124.2</v>
      </c>
      <c r="T1248" s="270">
        <v>7.26</v>
      </c>
      <c r="U1248" s="270">
        <v>0.56999999999999995</v>
      </c>
    </row>
    <row r="1249" spans="2:21" ht="17.399999999999999" thickTop="1" thickBot="1">
      <c r="B1249" s="103">
        <v>124.3</v>
      </c>
      <c r="T1249" s="270">
        <v>7.27</v>
      </c>
      <c r="U1249" s="270">
        <v>0.56999999999999995</v>
      </c>
    </row>
    <row r="1250" spans="2:21" ht="17.399999999999999" thickTop="1" thickBot="1">
      <c r="B1250" s="216">
        <v>124.4</v>
      </c>
      <c r="T1250" s="270">
        <v>7.28</v>
      </c>
      <c r="U1250" s="270">
        <v>0.56999999999999995</v>
      </c>
    </row>
    <row r="1251" spans="2:21" ht="17.399999999999999" thickTop="1" thickBot="1">
      <c r="B1251" s="103">
        <v>124.5</v>
      </c>
      <c r="T1251" s="270">
        <v>7.29</v>
      </c>
      <c r="U1251" s="270">
        <v>0.56999999999999995</v>
      </c>
    </row>
    <row r="1252" spans="2:21" ht="17.399999999999999" thickTop="1" thickBot="1">
      <c r="B1252" s="216">
        <v>124.6</v>
      </c>
      <c r="T1252" s="270">
        <v>7.3</v>
      </c>
      <c r="U1252" s="270">
        <v>0.56999999999999995</v>
      </c>
    </row>
    <row r="1253" spans="2:21" ht="17.399999999999999" thickTop="1" thickBot="1">
      <c r="B1253" s="103">
        <v>124.7</v>
      </c>
      <c r="T1253" s="270">
        <v>7.32</v>
      </c>
      <c r="U1253" s="270">
        <v>0.57999999999999996</v>
      </c>
    </row>
    <row r="1254" spans="2:21" ht="17.399999999999999" thickTop="1" thickBot="1">
      <c r="B1254" s="216">
        <v>124.8</v>
      </c>
      <c r="T1254" s="270">
        <v>7.33</v>
      </c>
      <c r="U1254" s="270">
        <v>0.57999999999999996</v>
      </c>
    </row>
    <row r="1255" spans="2:21" ht="17.399999999999999" thickTop="1" thickBot="1">
      <c r="B1255" s="103">
        <v>124.9</v>
      </c>
      <c r="T1255" s="270">
        <v>7.34</v>
      </c>
      <c r="U1255" s="270">
        <v>0.57999999999999996</v>
      </c>
    </row>
    <row r="1256" spans="2:21" ht="17.399999999999999" thickTop="1" thickBot="1">
      <c r="B1256" s="216">
        <v>125</v>
      </c>
      <c r="T1256" s="270">
        <v>7.35</v>
      </c>
      <c r="U1256" s="270">
        <v>0.57999999999999996</v>
      </c>
    </row>
    <row r="1257" spans="2:21" ht="17.399999999999999" thickTop="1" thickBot="1">
      <c r="B1257" s="103">
        <v>125.1</v>
      </c>
      <c r="T1257" s="270">
        <v>7.36</v>
      </c>
      <c r="U1257" s="270">
        <v>0.57999999999999996</v>
      </c>
    </row>
    <row r="1258" spans="2:21" ht="17.399999999999999" thickTop="1" thickBot="1">
      <c r="B1258" s="216">
        <v>125.2</v>
      </c>
      <c r="T1258" s="270">
        <v>7.37</v>
      </c>
      <c r="U1258" s="270">
        <v>0.57999999999999996</v>
      </c>
    </row>
    <row r="1259" spans="2:21" ht="17.399999999999999" thickTop="1" thickBot="1">
      <c r="B1259" s="103">
        <v>125.3</v>
      </c>
      <c r="T1259" s="270">
        <v>7.39</v>
      </c>
      <c r="U1259" s="270">
        <v>0.57999999999999996</v>
      </c>
    </row>
    <row r="1260" spans="2:21" ht="17.399999999999999" thickTop="1" thickBot="1">
      <c r="B1260" s="216">
        <v>125.4</v>
      </c>
      <c r="T1260" s="270">
        <v>7.4</v>
      </c>
      <c r="U1260" s="270">
        <v>0.57999999999999996</v>
      </c>
    </row>
    <row r="1261" spans="2:21" ht="17.399999999999999" thickTop="1" thickBot="1">
      <c r="B1261" s="103">
        <v>125.5</v>
      </c>
      <c r="T1261" s="270">
        <v>7.41</v>
      </c>
      <c r="U1261" s="270">
        <v>0.57999999999999996</v>
      </c>
    </row>
    <row r="1262" spans="2:21" ht="17.399999999999999" thickTop="1" thickBot="1">
      <c r="B1262" s="216">
        <v>125.6</v>
      </c>
      <c r="T1262" s="270">
        <v>7.42</v>
      </c>
      <c r="U1262" s="270">
        <v>0.57999999999999996</v>
      </c>
    </row>
    <row r="1263" spans="2:21" ht="17.399999999999999" thickTop="1" thickBot="1">
      <c r="B1263" s="103">
        <v>125.7</v>
      </c>
      <c r="T1263" s="270">
        <v>7.43</v>
      </c>
      <c r="U1263" s="270">
        <v>0.57999999999999996</v>
      </c>
    </row>
    <row r="1264" spans="2:21" ht="17.399999999999999" thickTop="1" thickBot="1">
      <c r="B1264" s="216">
        <v>125.8</v>
      </c>
      <c r="T1264" s="270">
        <v>7.45</v>
      </c>
      <c r="U1264" s="270">
        <v>0.59</v>
      </c>
    </row>
    <row r="1265" spans="2:21" ht="17.399999999999999" thickTop="1" thickBot="1">
      <c r="B1265" s="103">
        <v>125.9</v>
      </c>
      <c r="T1265" s="270">
        <v>7.46</v>
      </c>
      <c r="U1265" s="270">
        <v>0.59</v>
      </c>
    </row>
    <row r="1266" spans="2:21" ht="17.399999999999999" thickTop="1" thickBot="1">
      <c r="B1266" s="216">
        <v>126</v>
      </c>
      <c r="T1266" s="270">
        <v>7.47</v>
      </c>
      <c r="U1266" s="270">
        <v>0.59</v>
      </c>
    </row>
    <row r="1267" spans="2:21" ht="17.399999999999999" thickTop="1" thickBot="1">
      <c r="B1267" s="103">
        <v>126.1</v>
      </c>
      <c r="T1267" s="270">
        <v>7.48</v>
      </c>
      <c r="U1267" s="270">
        <v>0.59</v>
      </c>
    </row>
    <row r="1268" spans="2:21" ht="17.399999999999999" thickTop="1" thickBot="1">
      <c r="B1268" s="216">
        <v>126.2</v>
      </c>
      <c r="T1268" s="270">
        <v>7.49</v>
      </c>
      <c r="U1268" s="270">
        <v>0.59</v>
      </c>
    </row>
    <row r="1269" spans="2:21" ht="17.399999999999999" thickTop="1" thickBot="1">
      <c r="B1269" s="103">
        <v>126.3</v>
      </c>
      <c r="T1269" s="270">
        <v>7.5</v>
      </c>
      <c r="U1269" s="270">
        <v>0.59</v>
      </c>
    </row>
    <row r="1270" spans="2:21" ht="17.399999999999999" thickTop="1" thickBot="1">
      <c r="B1270" s="216">
        <v>126.4</v>
      </c>
      <c r="T1270" s="270">
        <v>7.52</v>
      </c>
      <c r="U1270" s="270">
        <v>0.59</v>
      </c>
    </row>
    <row r="1271" spans="2:21" ht="17.399999999999999" thickTop="1" thickBot="1">
      <c r="B1271" s="103">
        <v>126.5</v>
      </c>
      <c r="T1271" s="270">
        <v>7.53</v>
      </c>
      <c r="U1271" s="270">
        <v>0.59</v>
      </c>
    </row>
    <row r="1272" spans="2:21" ht="17.399999999999999" thickTop="1" thickBot="1">
      <c r="B1272" s="216">
        <v>126.6</v>
      </c>
      <c r="T1272" s="270">
        <v>7.54</v>
      </c>
      <c r="U1272" s="270">
        <v>0.59</v>
      </c>
    </row>
    <row r="1273" spans="2:21" ht="17.399999999999999" thickTop="1" thickBot="1">
      <c r="B1273" s="103">
        <v>126.7</v>
      </c>
      <c r="T1273" s="270">
        <v>7.55</v>
      </c>
      <c r="U1273" s="270">
        <v>0.59</v>
      </c>
    </row>
    <row r="1274" spans="2:21" ht="17.399999999999999" thickTop="1" thickBot="1">
      <c r="B1274" s="216">
        <v>126.8</v>
      </c>
      <c r="T1274" s="270">
        <v>7.56</v>
      </c>
      <c r="U1274" s="270">
        <v>0.59</v>
      </c>
    </row>
    <row r="1275" spans="2:21" ht="17.399999999999999" thickTop="1" thickBot="1">
      <c r="B1275" s="103">
        <v>126.9</v>
      </c>
      <c r="T1275" s="270">
        <v>7.58</v>
      </c>
      <c r="U1275" s="270">
        <v>0.6</v>
      </c>
    </row>
    <row r="1276" spans="2:21" ht="17.399999999999999" thickTop="1" thickBot="1">
      <c r="B1276" s="216">
        <v>127</v>
      </c>
      <c r="T1276" s="270">
        <v>7.59</v>
      </c>
      <c r="U1276" s="270">
        <v>0.6</v>
      </c>
    </row>
    <row r="1277" spans="2:21" ht="17.399999999999999" thickTop="1" thickBot="1">
      <c r="B1277" s="103">
        <v>127.1</v>
      </c>
      <c r="T1277" s="270">
        <v>7.6</v>
      </c>
      <c r="U1277" s="270">
        <v>0.6</v>
      </c>
    </row>
    <row r="1278" spans="2:21" ht="17.399999999999999" thickTop="1" thickBot="1">
      <c r="B1278" s="216">
        <v>127.2</v>
      </c>
      <c r="T1278" s="270">
        <v>7.61</v>
      </c>
      <c r="U1278" s="270">
        <v>0.6</v>
      </c>
    </row>
    <row r="1279" spans="2:21" ht="17.399999999999999" thickTop="1" thickBot="1">
      <c r="B1279" s="103">
        <v>127.3</v>
      </c>
      <c r="T1279" s="270">
        <v>7.62</v>
      </c>
      <c r="U1279" s="270">
        <v>0.6</v>
      </c>
    </row>
    <row r="1280" spans="2:21" ht="17.399999999999999" thickTop="1" thickBot="1">
      <c r="B1280" s="216">
        <v>127.4</v>
      </c>
      <c r="T1280" s="270">
        <v>7.64</v>
      </c>
      <c r="U1280" s="270">
        <v>0.6</v>
      </c>
    </row>
    <row r="1281" spans="2:21" ht="17.399999999999999" thickTop="1" thickBot="1">
      <c r="B1281" s="103">
        <v>127.5</v>
      </c>
      <c r="T1281" s="270">
        <v>7.65</v>
      </c>
      <c r="U1281" s="270">
        <v>0.6</v>
      </c>
    </row>
    <row r="1282" spans="2:21" ht="17.399999999999999" thickTop="1" thickBot="1">
      <c r="B1282" s="216">
        <v>127.6</v>
      </c>
      <c r="T1282" s="270">
        <v>7.66</v>
      </c>
      <c r="U1282" s="270">
        <v>0.6</v>
      </c>
    </row>
    <row r="1283" spans="2:21" ht="17.399999999999999" thickTop="1" thickBot="1">
      <c r="B1283" s="103">
        <v>127.7</v>
      </c>
      <c r="T1283" s="270">
        <v>7.67</v>
      </c>
      <c r="U1283" s="270">
        <v>0.6</v>
      </c>
    </row>
    <row r="1284" spans="2:21" ht="17.399999999999999" thickTop="1" thickBot="1">
      <c r="B1284" s="216">
        <v>127.8</v>
      </c>
      <c r="T1284" s="270">
        <v>7.68</v>
      </c>
      <c r="U1284" s="270">
        <v>0.6</v>
      </c>
    </row>
    <row r="1285" spans="2:21" ht="17.399999999999999" thickTop="1" thickBot="1">
      <c r="B1285" s="103">
        <v>127.9</v>
      </c>
      <c r="T1285" s="270">
        <v>7.7</v>
      </c>
      <c r="U1285" s="270">
        <v>0.61</v>
      </c>
    </row>
    <row r="1286" spans="2:21" ht="17.399999999999999" thickTop="1" thickBot="1">
      <c r="B1286" s="216">
        <v>128</v>
      </c>
      <c r="T1286" s="270">
        <v>7.71</v>
      </c>
      <c r="U1286" s="270">
        <v>0.61</v>
      </c>
    </row>
    <row r="1287" spans="2:21" ht="17.399999999999999" thickTop="1" thickBot="1">
      <c r="B1287" s="103">
        <v>128.1</v>
      </c>
      <c r="T1287" s="270">
        <v>7.72</v>
      </c>
      <c r="U1287" s="270">
        <v>0.61</v>
      </c>
    </row>
    <row r="1288" spans="2:21" ht="17.399999999999999" thickTop="1" thickBot="1">
      <c r="B1288" s="216">
        <v>128.19999999999999</v>
      </c>
      <c r="T1288" s="270">
        <v>7.73</v>
      </c>
      <c r="U1288" s="270">
        <v>0.61</v>
      </c>
    </row>
    <row r="1289" spans="2:21" ht="17.399999999999999" thickTop="1" thickBot="1">
      <c r="B1289" s="103">
        <v>128.30000000000001</v>
      </c>
      <c r="T1289" s="270">
        <v>7.74</v>
      </c>
      <c r="U1289" s="270">
        <v>0.61</v>
      </c>
    </row>
    <row r="1290" spans="2:21" ht="17.399999999999999" thickTop="1" thickBot="1">
      <c r="B1290" s="216">
        <v>128.4</v>
      </c>
      <c r="T1290" s="270">
        <v>7.76</v>
      </c>
      <c r="U1290" s="270">
        <v>0.61</v>
      </c>
    </row>
    <row r="1291" spans="2:21" ht="17.399999999999999" thickTop="1" thickBot="1">
      <c r="B1291" s="103">
        <v>128.5</v>
      </c>
      <c r="T1291" s="270">
        <v>7.77</v>
      </c>
      <c r="U1291" s="270">
        <v>0.61</v>
      </c>
    </row>
    <row r="1292" spans="2:21" ht="17.399999999999999" thickTop="1" thickBot="1">
      <c r="B1292" s="216">
        <v>128.6</v>
      </c>
      <c r="T1292" s="270">
        <v>7.78</v>
      </c>
      <c r="U1292" s="270">
        <v>0.61</v>
      </c>
    </row>
    <row r="1293" spans="2:21" ht="17.399999999999999" thickTop="1" thickBot="1">
      <c r="B1293" s="103">
        <v>128.69999999999999</v>
      </c>
      <c r="T1293" s="270">
        <v>7.79</v>
      </c>
      <c r="U1293" s="270">
        <v>0.61</v>
      </c>
    </row>
    <row r="1294" spans="2:21" ht="17.399999999999999" thickTop="1" thickBot="1">
      <c r="B1294" s="216">
        <v>128.80000000000001</v>
      </c>
      <c r="T1294" s="270">
        <v>7.8</v>
      </c>
      <c r="U1294" s="270">
        <v>0.61</v>
      </c>
    </row>
    <row r="1295" spans="2:21" ht="17.399999999999999" thickTop="1" thickBot="1">
      <c r="B1295" s="103">
        <v>128.9</v>
      </c>
      <c r="T1295" s="270">
        <v>7.82</v>
      </c>
      <c r="U1295" s="270">
        <v>0.61</v>
      </c>
    </row>
    <row r="1296" spans="2:21" ht="17.399999999999999" thickTop="1" thickBot="1">
      <c r="B1296" s="216">
        <v>129</v>
      </c>
      <c r="T1296" s="270">
        <v>7.83</v>
      </c>
      <c r="U1296" s="270">
        <v>0.62</v>
      </c>
    </row>
    <row r="1297" spans="2:21" ht="17.399999999999999" thickTop="1" thickBot="1">
      <c r="B1297" s="103">
        <v>129.1</v>
      </c>
      <c r="T1297" s="270">
        <v>7.84</v>
      </c>
      <c r="U1297" s="270">
        <v>0.62</v>
      </c>
    </row>
    <row r="1298" spans="2:21" ht="17.399999999999999" thickTop="1" thickBot="1">
      <c r="B1298" s="216">
        <v>129.19999999999999</v>
      </c>
      <c r="T1298" s="270">
        <v>7.85</v>
      </c>
      <c r="U1298" s="270">
        <v>0.62</v>
      </c>
    </row>
    <row r="1299" spans="2:21" ht="17.399999999999999" thickTop="1" thickBot="1">
      <c r="B1299" s="103">
        <v>129.30000000000001</v>
      </c>
      <c r="T1299" s="270">
        <v>7.87</v>
      </c>
      <c r="U1299" s="270">
        <v>0.62</v>
      </c>
    </row>
    <row r="1300" spans="2:21" ht="17.399999999999999" thickTop="1" thickBot="1">
      <c r="B1300" s="216">
        <v>129.4</v>
      </c>
      <c r="T1300" s="270">
        <v>7.88</v>
      </c>
      <c r="U1300" s="270">
        <v>0.62</v>
      </c>
    </row>
    <row r="1301" spans="2:21" ht="17.399999999999999" thickTop="1" thickBot="1">
      <c r="B1301" s="103">
        <v>129.5</v>
      </c>
      <c r="T1301" s="270">
        <v>7.89</v>
      </c>
      <c r="U1301" s="270">
        <v>0.62</v>
      </c>
    </row>
    <row r="1302" spans="2:21" ht="17.399999999999999" thickTop="1" thickBot="1">
      <c r="B1302" s="216">
        <v>129.6</v>
      </c>
      <c r="T1302" s="270">
        <v>7.9</v>
      </c>
      <c r="U1302" s="270">
        <v>0.62</v>
      </c>
    </row>
    <row r="1303" spans="2:21" ht="17.399999999999999" thickTop="1" thickBot="1">
      <c r="B1303" s="103">
        <v>129.69999999999999</v>
      </c>
      <c r="T1303" s="270">
        <v>7.91</v>
      </c>
      <c r="U1303" s="270">
        <v>0.62</v>
      </c>
    </row>
    <row r="1304" spans="2:21" ht="17.399999999999999" thickTop="1" thickBot="1">
      <c r="B1304" s="216">
        <v>129.80000000000001</v>
      </c>
      <c r="T1304" s="270">
        <v>7.93</v>
      </c>
      <c r="U1304" s="270">
        <v>0.62</v>
      </c>
    </row>
    <row r="1305" spans="2:21" ht="17.399999999999999" thickTop="1" thickBot="1">
      <c r="B1305" s="103">
        <v>129.9</v>
      </c>
      <c r="T1305" s="270">
        <v>7.94</v>
      </c>
      <c r="U1305" s="270">
        <v>0.62</v>
      </c>
    </row>
    <row r="1306" spans="2:21" ht="17.399999999999999" thickTop="1" thickBot="1">
      <c r="B1306" s="216">
        <v>130</v>
      </c>
      <c r="T1306" s="270">
        <v>7.95</v>
      </c>
      <c r="U1306" s="270">
        <v>0.63</v>
      </c>
    </row>
    <row r="1307" spans="2:21" ht="17.399999999999999" thickTop="1" thickBot="1">
      <c r="B1307" s="103">
        <v>130.1</v>
      </c>
      <c r="T1307" s="270">
        <v>7.96</v>
      </c>
      <c r="U1307" s="270">
        <v>0.63</v>
      </c>
    </row>
    <row r="1308" spans="2:21" ht="17.399999999999999" thickTop="1" thickBot="1">
      <c r="B1308" s="216">
        <v>130.19999999999999</v>
      </c>
      <c r="T1308" s="270">
        <v>7.98</v>
      </c>
      <c r="U1308" s="270">
        <v>0.63</v>
      </c>
    </row>
    <row r="1309" spans="2:21" ht="17.399999999999999" thickTop="1" thickBot="1">
      <c r="B1309" s="103">
        <v>130.30000000000001</v>
      </c>
      <c r="T1309" s="270">
        <v>7.99</v>
      </c>
      <c r="U1309" s="270">
        <v>0.63</v>
      </c>
    </row>
    <row r="1310" spans="2:21" ht="17.399999999999999" thickTop="1" thickBot="1">
      <c r="B1310" s="216">
        <v>130.4</v>
      </c>
      <c r="T1310" s="270">
        <v>8</v>
      </c>
      <c r="U1310" s="270">
        <v>0.63</v>
      </c>
    </row>
    <row r="1311" spans="2:21" ht="17.399999999999999" thickTop="1" thickBot="1">
      <c r="B1311" s="103">
        <v>130.5</v>
      </c>
      <c r="T1311" s="270">
        <v>8.01</v>
      </c>
      <c r="U1311" s="270">
        <v>0.63</v>
      </c>
    </row>
    <row r="1312" spans="2:21" ht="17.399999999999999" thickTop="1" thickBot="1">
      <c r="B1312" s="216">
        <v>130.6</v>
      </c>
      <c r="T1312" s="270">
        <v>8.02</v>
      </c>
      <c r="U1312" s="270">
        <v>0.63</v>
      </c>
    </row>
    <row r="1313" spans="2:21" ht="17.399999999999999" thickTop="1" thickBot="1">
      <c r="B1313" s="103">
        <v>130.69999999999999</v>
      </c>
      <c r="T1313" s="270">
        <v>8.0399999999999991</v>
      </c>
      <c r="U1313" s="270">
        <v>0.63</v>
      </c>
    </row>
    <row r="1314" spans="2:21" ht="17.399999999999999" thickTop="1" thickBot="1">
      <c r="B1314" s="216">
        <v>130.80000000000001</v>
      </c>
      <c r="T1314" s="270">
        <v>8.0500000000000007</v>
      </c>
      <c r="U1314" s="270">
        <v>0.63</v>
      </c>
    </row>
    <row r="1315" spans="2:21" ht="17.399999999999999" thickTop="1" thickBot="1">
      <c r="B1315" s="103">
        <v>130.9</v>
      </c>
      <c r="T1315" s="270">
        <v>8.06</v>
      </c>
      <c r="U1315" s="270">
        <v>0.63</v>
      </c>
    </row>
    <row r="1316" spans="2:21" ht="17.399999999999999" thickTop="1" thickBot="1">
      <c r="B1316" s="216">
        <v>131</v>
      </c>
      <c r="T1316" s="270">
        <v>8.07</v>
      </c>
      <c r="U1316" s="270">
        <v>0.64</v>
      </c>
    </row>
    <row r="1317" spans="2:21" ht="17.399999999999999" thickTop="1" thickBot="1">
      <c r="B1317" s="103">
        <v>131.1</v>
      </c>
      <c r="T1317" s="270">
        <v>8.09</v>
      </c>
      <c r="U1317" s="270">
        <v>0.64</v>
      </c>
    </row>
    <row r="1318" spans="2:21" ht="17.399999999999999" thickTop="1" thickBot="1">
      <c r="B1318" s="216">
        <v>131.19999999999999</v>
      </c>
      <c r="T1318" s="270">
        <v>8.1</v>
      </c>
      <c r="U1318" s="270">
        <v>0.64</v>
      </c>
    </row>
    <row r="1319" spans="2:21" ht="17.399999999999999" thickTop="1" thickBot="1">
      <c r="B1319" s="103">
        <v>131.30000000000001</v>
      </c>
      <c r="T1319" s="270">
        <v>8.11</v>
      </c>
      <c r="U1319" s="270">
        <v>0.64</v>
      </c>
    </row>
    <row r="1320" spans="2:21" ht="17.399999999999999" thickTop="1" thickBot="1">
      <c r="B1320" s="216">
        <v>131.4</v>
      </c>
      <c r="T1320" s="270">
        <v>8.1199999999999992</v>
      </c>
      <c r="U1320" s="270">
        <v>0.64</v>
      </c>
    </row>
    <row r="1321" spans="2:21" ht="17.399999999999999" thickTop="1" thickBot="1">
      <c r="B1321" s="103">
        <v>131.5</v>
      </c>
      <c r="T1321" s="270">
        <v>8.14</v>
      </c>
      <c r="U1321" s="270">
        <v>0.64</v>
      </c>
    </row>
    <row r="1322" spans="2:21" ht="17.399999999999999" thickTop="1" thickBot="1">
      <c r="B1322" s="216">
        <v>131.6</v>
      </c>
      <c r="T1322" s="270">
        <v>8.15</v>
      </c>
      <c r="U1322" s="270">
        <v>0.64</v>
      </c>
    </row>
    <row r="1323" spans="2:21" ht="17.399999999999999" thickTop="1" thickBot="1">
      <c r="B1323" s="103">
        <v>131.69999999999999</v>
      </c>
      <c r="T1323" s="270">
        <v>8.16</v>
      </c>
      <c r="U1323" s="270">
        <v>0.64</v>
      </c>
    </row>
    <row r="1324" spans="2:21" ht="17.399999999999999" thickTop="1" thickBot="1">
      <c r="B1324" s="216">
        <v>131.80000000000001</v>
      </c>
      <c r="T1324" s="270">
        <v>8.17</v>
      </c>
      <c r="U1324" s="270">
        <v>0.64</v>
      </c>
    </row>
    <row r="1325" spans="2:21" ht="17.399999999999999" thickTop="1" thickBot="1">
      <c r="B1325" s="103">
        <v>131.9</v>
      </c>
      <c r="T1325" s="270">
        <v>8.19</v>
      </c>
      <c r="U1325" s="270">
        <v>0.64</v>
      </c>
    </row>
    <row r="1326" spans="2:21" ht="17.399999999999999" thickTop="1" thickBot="1">
      <c r="B1326" s="216">
        <v>132</v>
      </c>
      <c r="T1326" s="270">
        <v>8.1999999999999993</v>
      </c>
      <c r="U1326" s="270">
        <v>0.64</v>
      </c>
    </row>
    <row r="1327" spans="2:21" ht="17.399999999999999" thickTop="1" thickBot="1">
      <c r="B1327" s="103">
        <v>132.1</v>
      </c>
      <c r="T1327" s="270">
        <v>8.2100000000000009</v>
      </c>
      <c r="U1327" s="270">
        <v>0.65</v>
      </c>
    </row>
    <row r="1328" spans="2:21" ht="17.399999999999999" thickTop="1" thickBot="1">
      <c r="B1328" s="216">
        <v>132.19999999999999</v>
      </c>
      <c r="T1328" s="270">
        <v>8.2200000000000006</v>
      </c>
      <c r="U1328" s="270">
        <v>0.65</v>
      </c>
    </row>
    <row r="1329" spans="2:21" ht="17.399999999999999" thickTop="1" thickBot="1">
      <c r="B1329" s="103">
        <v>132.30000000000001</v>
      </c>
      <c r="T1329" s="270">
        <v>8.23</v>
      </c>
      <c r="U1329" s="270">
        <v>0.65</v>
      </c>
    </row>
    <row r="1330" spans="2:21" ht="17.399999999999999" thickTop="1" thickBot="1">
      <c r="B1330" s="216">
        <v>132.4</v>
      </c>
      <c r="T1330" s="270">
        <v>8.25</v>
      </c>
      <c r="U1330" s="270">
        <v>0.65</v>
      </c>
    </row>
    <row r="1331" spans="2:21" ht="17.399999999999999" thickTop="1" thickBot="1">
      <c r="B1331" s="103">
        <v>132.5</v>
      </c>
      <c r="T1331" s="270">
        <v>8.26</v>
      </c>
      <c r="U1331" s="270">
        <v>0.65</v>
      </c>
    </row>
    <row r="1332" spans="2:21" ht="17.399999999999999" thickTop="1" thickBot="1">
      <c r="B1332" s="216">
        <v>132.6</v>
      </c>
      <c r="T1332" s="270">
        <v>8.27</v>
      </c>
      <c r="U1332" s="270">
        <v>0.65</v>
      </c>
    </row>
    <row r="1333" spans="2:21" ht="17.399999999999999" thickTop="1" thickBot="1">
      <c r="B1333" s="103">
        <v>132.69999999999999</v>
      </c>
      <c r="T1333" s="270">
        <v>8.2799999999999994</v>
      </c>
      <c r="U1333" s="270">
        <v>0.65</v>
      </c>
    </row>
    <row r="1334" spans="2:21" ht="17.399999999999999" thickTop="1" thickBot="1">
      <c r="B1334" s="216">
        <v>132.80000000000001</v>
      </c>
      <c r="T1334" s="270">
        <v>8.3000000000000007</v>
      </c>
      <c r="U1334" s="270">
        <v>0.65</v>
      </c>
    </row>
    <row r="1335" spans="2:21" ht="17.399999999999999" thickTop="1" thickBot="1">
      <c r="B1335" s="103">
        <v>132.9</v>
      </c>
      <c r="T1335" s="270">
        <v>8.31</v>
      </c>
      <c r="U1335" s="270">
        <v>0.65</v>
      </c>
    </row>
    <row r="1336" spans="2:21" ht="17.399999999999999" thickTop="1" thickBot="1">
      <c r="B1336" s="216">
        <v>133</v>
      </c>
      <c r="T1336" s="270">
        <v>8.32</v>
      </c>
      <c r="U1336" s="270">
        <v>0.65</v>
      </c>
    </row>
    <row r="1337" spans="2:21" ht="17.399999999999999" thickTop="1" thickBot="1">
      <c r="B1337" s="103">
        <v>133.1</v>
      </c>
      <c r="T1337" s="270">
        <v>8.33</v>
      </c>
      <c r="U1337" s="270">
        <v>0.66</v>
      </c>
    </row>
    <row r="1338" spans="2:21" ht="17.399999999999999" thickTop="1" thickBot="1">
      <c r="B1338" s="216">
        <v>133.19999999999999</v>
      </c>
      <c r="T1338" s="270">
        <v>8.35</v>
      </c>
      <c r="U1338" s="270">
        <v>0.66</v>
      </c>
    </row>
    <row r="1339" spans="2:21" ht="17.399999999999999" thickTop="1" thickBot="1">
      <c r="B1339" s="103">
        <v>133.30000000000001</v>
      </c>
      <c r="T1339" s="270">
        <v>8.36</v>
      </c>
      <c r="U1339" s="270">
        <v>0.66</v>
      </c>
    </row>
    <row r="1340" spans="2:21" ht="17.399999999999999" thickTop="1" thickBot="1">
      <c r="B1340" s="216">
        <v>133.4</v>
      </c>
      <c r="T1340" s="270">
        <v>8.3699999999999992</v>
      </c>
      <c r="U1340" s="270">
        <v>0.66</v>
      </c>
    </row>
    <row r="1341" spans="2:21" ht="17.399999999999999" thickTop="1" thickBot="1">
      <c r="B1341" s="103">
        <v>133.5</v>
      </c>
      <c r="T1341" s="270">
        <v>8.3800000000000008</v>
      </c>
      <c r="U1341" s="270">
        <v>0.66</v>
      </c>
    </row>
    <row r="1342" spans="2:21" ht="17.399999999999999" thickTop="1" thickBot="1">
      <c r="B1342" s="216">
        <v>133.6</v>
      </c>
      <c r="T1342" s="270">
        <v>8.4</v>
      </c>
      <c r="U1342" s="270">
        <v>0.66</v>
      </c>
    </row>
    <row r="1343" spans="2:21" ht="17.399999999999999" thickTop="1" thickBot="1">
      <c r="B1343" s="103">
        <v>133.69999999999999</v>
      </c>
      <c r="T1343" s="270">
        <v>8.41</v>
      </c>
      <c r="U1343" s="270">
        <v>0.66</v>
      </c>
    </row>
    <row r="1344" spans="2:21" ht="17.399999999999999" thickTop="1" thickBot="1">
      <c r="B1344" s="216">
        <v>133.80000000000001</v>
      </c>
      <c r="T1344" s="270">
        <v>8.42</v>
      </c>
      <c r="U1344" s="270">
        <v>0.66</v>
      </c>
    </row>
    <row r="1345" spans="2:21" ht="17.399999999999999" thickTop="1" thickBot="1">
      <c r="B1345" s="103">
        <v>133.9</v>
      </c>
      <c r="T1345" s="270">
        <v>8.44</v>
      </c>
      <c r="U1345" s="270">
        <v>0.66</v>
      </c>
    </row>
    <row r="1346" spans="2:21" ht="17.399999999999999" thickTop="1" thickBot="1">
      <c r="B1346" s="216">
        <v>134</v>
      </c>
      <c r="T1346" s="270">
        <v>8.4499999999999993</v>
      </c>
      <c r="U1346" s="270">
        <v>0.66</v>
      </c>
    </row>
    <row r="1347" spans="2:21" ht="17.399999999999999" thickTop="1" thickBot="1">
      <c r="B1347" s="103">
        <v>134.1</v>
      </c>
      <c r="T1347" s="270">
        <v>8.4600000000000009</v>
      </c>
      <c r="U1347" s="270">
        <v>0.67</v>
      </c>
    </row>
    <row r="1348" spans="2:21" ht="17.399999999999999" thickTop="1" thickBot="1">
      <c r="B1348" s="216">
        <v>134.19999999999999</v>
      </c>
      <c r="T1348" s="270">
        <v>8.4700000000000006</v>
      </c>
      <c r="U1348" s="270">
        <v>0.67</v>
      </c>
    </row>
    <row r="1349" spans="2:21" ht="17.399999999999999" thickTop="1" thickBot="1">
      <c r="B1349" s="103">
        <v>134.30000000000001</v>
      </c>
      <c r="T1349" s="270">
        <v>8.49</v>
      </c>
      <c r="U1349" s="270">
        <v>0.67</v>
      </c>
    </row>
    <row r="1350" spans="2:21" ht="17.399999999999999" thickTop="1" thickBot="1">
      <c r="B1350" s="216">
        <v>134.4</v>
      </c>
      <c r="T1350" s="270">
        <v>8.5</v>
      </c>
      <c r="U1350" s="270">
        <v>0.67</v>
      </c>
    </row>
    <row r="1351" spans="2:21" ht="17.399999999999999" thickTop="1" thickBot="1">
      <c r="B1351" s="103">
        <v>134.5</v>
      </c>
      <c r="T1351" s="270">
        <v>8.51</v>
      </c>
      <c r="U1351" s="270">
        <v>0.67</v>
      </c>
    </row>
    <row r="1352" spans="2:21" ht="17.399999999999999" thickTop="1" thickBot="1">
      <c r="B1352" s="216">
        <v>134.6</v>
      </c>
      <c r="T1352" s="270">
        <v>8.52</v>
      </c>
      <c r="U1352" s="270">
        <v>0.67</v>
      </c>
    </row>
    <row r="1353" spans="2:21" ht="17.399999999999999" thickTop="1" thickBot="1">
      <c r="B1353" s="103">
        <v>134.69999999999999</v>
      </c>
      <c r="T1353" s="270">
        <v>8.5399999999999991</v>
      </c>
      <c r="U1353" s="270">
        <v>0.67</v>
      </c>
    </row>
    <row r="1354" spans="2:21" ht="17.399999999999999" thickTop="1" thickBot="1">
      <c r="B1354" s="216">
        <v>134.80000000000001</v>
      </c>
      <c r="T1354" s="270">
        <v>8.5500000000000007</v>
      </c>
      <c r="U1354" s="270">
        <v>0.67</v>
      </c>
    </row>
    <row r="1355" spans="2:21" ht="17.399999999999999" thickTop="1" thickBot="1">
      <c r="B1355" s="103">
        <v>134.9</v>
      </c>
      <c r="T1355" s="270">
        <v>8.56</v>
      </c>
      <c r="U1355" s="270">
        <v>0.67</v>
      </c>
    </row>
    <row r="1356" spans="2:21" ht="17.399999999999999" thickTop="1" thickBot="1">
      <c r="B1356" s="216">
        <v>135</v>
      </c>
      <c r="T1356" s="270">
        <v>8.57</v>
      </c>
      <c r="U1356" s="270">
        <v>0.67</v>
      </c>
    </row>
    <row r="1357" spans="2:21" ht="17.399999999999999" thickTop="1" thickBot="1">
      <c r="B1357" s="103">
        <v>135.1</v>
      </c>
      <c r="T1357" s="270">
        <v>8.59</v>
      </c>
      <c r="U1357" s="270">
        <v>0.68</v>
      </c>
    </row>
    <row r="1358" spans="2:21" ht="17.399999999999999" thickTop="1" thickBot="1">
      <c r="B1358" s="216">
        <v>135.19999999999999</v>
      </c>
      <c r="T1358" s="270">
        <v>8.6</v>
      </c>
      <c r="U1358" s="270">
        <v>0.68</v>
      </c>
    </row>
    <row r="1359" spans="2:21" ht="17.399999999999999" thickTop="1" thickBot="1">
      <c r="B1359" s="103">
        <v>135.30000000000001</v>
      </c>
      <c r="T1359" s="270">
        <v>8.61</v>
      </c>
      <c r="U1359" s="270">
        <v>0.68</v>
      </c>
    </row>
    <row r="1360" spans="2:21" ht="17.399999999999999" thickTop="1" thickBot="1">
      <c r="B1360" s="216">
        <v>135.4</v>
      </c>
      <c r="T1360" s="270">
        <v>8.6300000000000008</v>
      </c>
      <c r="U1360" s="270">
        <v>0.68</v>
      </c>
    </row>
    <row r="1361" spans="2:21" ht="17.399999999999999" thickTop="1" thickBot="1">
      <c r="B1361" s="103">
        <v>135.5</v>
      </c>
      <c r="T1361" s="270">
        <v>8.64</v>
      </c>
      <c r="U1361" s="270">
        <v>0.68</v>
      </c>
    </row>
    <row r="1362" spans="2:21" ht="17.399999999999999" thickTop="1" thickBot="1">
      <c r="B1362" s="216">
        <v>135.6</v>
      </c>
      <c r="T1362" s="270">
        <v>8.65</v>
      </c>
      <c r="U1362" s="270">
        <v>0.68</v>
      </c>
    </row>
    <row r="1363" spans="2:21" ht="17.399999999999999" thickTop="1" thickBot="1">
      <c r="B1363" s="103">
        <v>135.69999999999999</v>
      </c>
      <c r="T1363" s="270">
        <v>8.66</v>
      </c>
      <c r="U1363" s="270">
        <v>0.68</v>
      </c>
    </row>
    <row r="1364" spans="2:21" ht="17.399999999999999" thickTop="1" thickBot="1">
      <c r="B1364" s="216">
        <v>135.80000000000001</v>
      </c>
      <c r="T1364" s="270">
        <v>8.68</v>
      </c>
      <c r="U1364" s="270">
        <v>0.68</v>
      </c>
    </row>
    <row r="1365" spans="2:21" ht="17.399999999999999" thickTop="1" thickBot="1">
      <c r="B1365" s="103">
        <v>135.9</v>
      </c>
      <c r="T1365" s="270">
        <v>8.69</v>
      </c>
      <c r="U1365" s="270">
        <v>0.68</v>
      </c>
    </row>
    <row r="1366" spans="2:21" ht="17.399999999999999" thickTop="1" thickBot="1">
      <c r="B1366" s="216">
        <v>136</v>
      </c>
      <c r="T1366" s="270">
        <v>8.6999999999999993</v>
      </c>
      <c r="U1366" s="270">
        <v>0.68</v>
      </c>
    </row>
    <row r="1367" spans="2:21" ht="17.399999999999999" thickTop="1" thickBot="1">
      <c r="B1367" s="103">
        <v>136.1</v>
      </c>
      <c r="T1367" s="270">
        <v>8.7100000000000009</v>
      </c>
      <c r="U1367" s="270">
        <v>0.69</v>
      </c>
    </row>
    <row r="1368" spans="2:21" ht="17.399999999999999" thickTop="1" thickBot="1">
      <c r="B1368" s="216">
        <v>136.19999999999999</v>
      </c>
      <c r="T1368" s="270">
        <v>8.73</v>
      </c>
      <c r="U1368" s="270">
        <v>0.69</v>
      </c>
    </row>
    <row r="1369" spans="2:21" ht="17.399999999999999" thickTop="1" thickBot="1">
      <c r="B1369" s="103">
        <v>136.30000000000001</v>
      </c>
      <c r="T1369" s="270">
        <v>8.74</v>
      </c>
      <c r="U1369" s="270">
        <v>0.69</v>
      </c>
    </row>
    <row r="1370" spans="2:21" ht="17.399999999999999" thickTop="1" thickBot="1">
      <c r="B1370" s="216">
        <v>136.4</v>
      </c>
      <c r="T1370" s="270">
        <v>8.75</v>
      </c>
      <c r="U1370" s="270">
        <v>0.69</v>
      </c>
    </row>
    <row r="1371" spans="2:21" ht="17.399999999999999" thickTop="1" thickBot="1">
      <c r="B1371" s="103">
        <v>136.5</v>
      </c>
      <c r="T1371" s="270">
        <v>8.77</v>
      </c>
      <c r="U1371" s="270">
        <v>0.69</v>
      </c>
    </row>
    <row r="1372" spans="2:21" ht="17.399999999999999" thickTop="1" thickBot="1">
      <c r="B1372" s="216">
        <v>136.6</v>
      </c>
      <c r="T1372" s="270">
        <v>8.7799999999999994</v>
      </c>
      <c r="U1372" s="270">
        <v>0.69</v>
      </c>
    </row>
    <row r="1373" spans="2:21" ht="17.399999999999999" thickTop="1" thickBot="1">
      <c r="B1373" s="103">
        <v>136.69999999999999</v>
      </c>
      <c r="T1373" s="270">
        <v>8.7899999999999991</v>
      </c>
      <c r="U1373" s="270">
        <v>0.69</v>
      </c>
    </row>
    <row r="1374" spans="2:21" ht="17.399999999999999" thickTop="1" thickBot="1">
      <c r="B1374" s="216">
        <v>136.80000000000001</v>
      </c>
      <c r="T1374" s="270">
        <v>8.8000000000000007</v>
      </c>
      <c r="U1374" s="270">
        <v>0.69</v>
      </c>
    </row>
    <row r="1375" spans="2:21" ht="17.399999999999999" thickTop="1" thickBot="1">
      <c r="B1375" s="103">
        <v>136.9</v>
      </c>
      <c r="T1375" s="270">
        <v>8.82</v>
      </c>
      <c r="U1375" s="270">
        <v>0.69</v>
      </c>
    </row>
    <row r="1376" spans="2:21" ht="17.399999999999999" thickTop="1" thickBot="1">
      <c r="B1376" s="216">
        <v>137</v>
      </c>
      <c r="T1376" s="270">
        <v>8.83</v>
      </c>
      <c r="U1376" s="270">
        <v>0.69</v>
      </c>
    </row>
    <row r="1377" spans="2:21" ht="17.399999999999999" thickTop="1" thickBot="1">
      <c r="B1377" s="103">
        <v>137.1</v>
      </c>
      <c r="T1377" s="270">
        <v>8.84</v>
      </c>
      <c r="U1377" s="270">
        <v>0.7</v>
      </c>
    </row>
    <row r="1378" spans="2:21" ht="17.399999999999999" thickTop="1" thickBot="1">
      <c r="B1378" s="216">
        <v>137.19999999999999</v>
      </c>
      <c r="T1378" s="270">
        <v>8.86</v>
      </c>
      <c r="U1378" s="270">
        <v>0.7</v>
      </c>
    </row>
    <row r="1379" spans="2:21" ht="17.399999999999999" thickTop="1" thickBot="1">
      <c r="B1379" s="103">
        <v>137.30000000000001</v>
      </c>
      <c r="T1379" s="270">
        <v>8.8699999999999992</v>
      </c>
      <c r="U1379" s="270">
        <v>0.7</v>
      </c>
    </row>
    <row r="1380" spans="2:21" ht="17.399999999999999" thickTop="1" thickBot="1">
      <c r="B1380" s="216">
        <v>137.4</v>
      </c>
      <c r="T1380" s="270">
        <v>8.8800000000000008</v>
      </c>
      <c r="U1380" s="270">
        <v>0.7</v>
      </c>
    </row>
    <row r="1381" spans="2:21" ht="17.399999999999999" thickTop="1" thickBot="1">
      <c r="B1381" s="103">
        <v>137.5</v>
      </c>
      <c r="T1381" s="270">
        <v>8.89</v>
      </c>
      <c r="U1381" s="270">
        <v>0.7</v>
      </c>
    </row>
    <row r="1382" spans="2:21" ht="17.399999999999999" thickTop="1" thickBot="1">
      <c r="B1382" s="216">
        <v>137.6</v>
      </c>
      <c r="T1382" s="270">
        <v>8.91</v>
      </c>
      <c r="U1382" s="270">
        <v>0.7</v>
      </c>
    </row>
    <row r="1383" spans="2:21" ht="17.399999999999999" thickTop="1" thickBot="1">
      <c r="B1383" s="103">
        <v>137.69999999999999</v>
      </c>
      <c r="T1383" s="270">
        <v>8.92</v>
      </c>
      <c r="U1383" s="270">
        <v>0.7</v>
      </c>
    </row>
    <row r="1384" spans="2:21" ht="17.399999999999999" thickTop="1" thickBot="1">
      <c r="B1384" s="216">
        <v>137.80000000000001</v>
      </c>
      <c r="T1384" s="270">
        <v>8.93</v>
      </c>
      <c r="U1384" s="270">
        <v>0.7</v>
      </c>
    </row>
    <row r="1385" spans="2:21" ht="17.399999999999999" thickTop="1" thickBot="1">
      <c r="B1385" s="103">
        <v>137.9</v>
      </c>
      <c r="T1385" s="270">
        <v>8.9499999999999993</v>
      </c>
      <c r="U1385" s="270">
        <v>0.7</v>
      </c>
    </row>
    <row r="1386" spans="2:21" ht="17.399999999999999" thickTop="1" thickBot="1">
      <c r="B1386" s="216">
        <v>138</v>
      </c>
      <c r="T1386" s="270">
        <v>8.9600000000000009</v>
      </c>
      <c r="U1386" s="270">
        <v>0.7</v>
      </c>
    </row>
    <row r="1387" spans="2:21" ht="17.399999999999999" thickTop="1" thickBot="1">
      <c r="B1387" s="103">
        <v>138.1</v>
      </c>
      <c r="T1387" s="270">
        <v>8.9700000000000006</v>
      </c>
      <c r="U1387" s="270">
        <v>0.71</v>
      </c>
    </row>
    <row r="1388" spans="2:21" ht="17.399999999999999" thickTop="1" thickBot="1">
      <c r="B1388" s="216">
        <v>138.19999999999999</v>
      </c>
      <c r="T1388" s="270">
        <v>8.99</v>
      </c>
      <c r="U1388" s="270">
        <v>0.71</v>
      </c>
    </row>
    <row r="1389" spans="2:21" ht="17.399999999999999" thickTop="1" thickBot="1">
      <c r="B1389" s="103">
        <v>138.30000000000001</v>
      </c>
      <c r="T1389" s="270">
        <v>9</v>
      </c>
      <c r="U1389" s="270">
        <v>0.71</v>
      </c>
    </row>
    <row r="1390" spans="2:21" ht="17.399999999999999" thickTop="1" thickBot="1">
      <c r="B1390" s="216">
        <v>138.4</v>
      </c>
      <c r="T1390" s="270">
        <v>9.01</v>
      </c>
      <c r="U1390" s="270">
        <v>0.71</v>
      </c>
    </row>
    <row r="1391" spans="2:21" ht="17.399999999999999" thickTop="1" thickBot="1">
      <c r="B1391" s="103">
        <v>138.5</v>
      </c>
      <c r="T1391" s="270">
        <v>9.02</v>
      </c>
      <c r="U1391" s="270">
        <v>0.71</v>
      </c>
    </row>
    <row r="1392" spans="2:21" ht="17.399999999999999" thickTop="1" thickBot="1">
      <c r="B1392" s="216">
        <v>138.6</v>
      </c>
      <c r="T1392" s="270">
        <v>9.0399999999999991</v>
      </c>
      <c r="U1392" s="270">
        <v>0.71</v>
      </c>
    </row>
    <row r="1393" spans="2:21" ht="17.399999999999999" thickTop="1" thickBot="1">
      <c r="B1393" s="103">
        <v>138.69999999999999</v>
      </c>
      <c r="T1393" s="270">
        <v>9.0500000000000007</v>
      </c>
      <c r="U1393" s="270">
        <v>0.71</v>
      </c>
    </row>
    <row r="1394" spans="2:21" ht="17.399999999999999" thickTop="1" thickBot="1">
      <c r="B1394" s="216">
        <v>138.80000000000001</v>
      </c>
      <c r="T1394" s="270">
        <v>9.06</v>
      </c>
      <c r="U1394" s="270">
        <v>0.71</v>
      </c>
    </row>
    <row r="1395" spans="2:21" ht="17.399999999999999" thickTop="1" thickBot="1">
      <c r="B1395" s="103">
        <v>138.9</v>
      </c>
      <c r="T1395" s="270">
        <v>9.08</v>
      </c>
      <c r="U1395" s="270">
        <v>0.71</v>
      </c>
    </row>
    <row r="1396" spans="2:21" ht="17.399999999999999" thickTop="1" thickBot="1">
      <c r="B1396" s="216">
        <v>139</v>
      </c>
      <c r="T1396" s="270">
        <v>9.09</v>
      </c>
      <c r="U1396" s="270">
        <v>0.71</v>
      </c>
    </row>
    <row r="1397" spans="2:21" ht="17.399999999999999" thickTop="1" thickBot="1">
      <c r="B1397" s="103">
        <v>139.1</v>
      </c>
      <c r="T1397" s="270">
        <v>9.1</v>
      </c>
      <c r="U1397" s="270">
        <v>0.72</v>
      </c>
    </row>
    <row r="1398" spans="2:21" ht="17.399999999999999" thickTop="1" thickBot="1">
      <c r="B1398" s="216">
        <v>139.19999999999999</v>
      </c>
      <c r="T1398" s="270">
        <v>9.1199999999999992</v>
      </c>
      <c r="U1398" s="270">
        <v>0.72</v>
      </c>
    </row>
    <row r="1399" spans="2:21" ht="17.399999999999999" thickTop="1" thickBot="1">
      <c r="B1399" s="103">
        <v>139.30000000000001</v>
      </c>
      <c r="T1399" s="270">
        <v>9.1300000000000008</v>
      </c>
      <c r="U1399" s="270">
        <v>0.72</v>
      </c>
    </row>
    <row r="1400" spans="2:21" ht="17.399999999999999" thickTop="1" thickBot="1">
      <c r="B1400" s="216">
        <v>139.4</v>
      </c>
      <c r="T1400" s="270">
        <v>9.14</v>
      </c>
      <c r="U1400" s="270">
        <v>0.72</v>
      </c>
    </row>
    <row r="1401" spans="2:21" ht="17.399999999999999" thickTop="1" thickBot="1">
      <c r="B1401" s="103">
        <v>139.5</v>
      </c>
      <c r="T1401" s="270">
        <v>9.16</v>
      </c>
      <c r="U1401" s="270">
        <v>0.72</v>
      </c>
    </row>
    <row r="1402" spans="2:21" ht="17.399999999999999" thickTop="1" thickBot="1">
      <c r="B1402" s="216">
        <v>139.6</v>
      </c>
      <c r="T1402" s="270">
        <v>9.17</v>
      </c>
      <c r="U1402" s="270">
        <v>0.72</v>
      </c>
    </row>
    <row r="1403" spans="2:21" ht="17.399999999999999" thickTop="1" thickBot="1">
      <c r="B1403" s="103">
        <v>139.69999999999999</v>
      </c>
      <c r="T1403" s="270">
        <v>9.18</v>
      </c>
      <c r="U1403" s="270">
        <v>0.72</v>
      </c>
    </row>
    <row r="1404" spans="2:21" ht="17.399999999999999" thickTop="1" thickBot="1">
      <c r="B1404" s="216">
        <v>139.80000000000001</v>
      </c>
      <c r="T1404" s="270">
        <v>9.19</v>
      </c>
      <c r="U1404" s="270">
        <v>0.72</v>
      </c>
    </row>
    <row r="1405" spans="2:21" ht="17.399999999999999" thickTop="1" thickBot="1">
      <c r="B1405" s="103">
        <v>139.9</v>
      </c>
      <c r="T1405" s="270">
        <v>9.2100000000000009</v>
      </c>
      <c r="U1405" s="270">
        <v>0.72</v>
      </c>
    </row>
    <row r="1406" spans="2:21" ht="17.399999999999999" thickTop="1" thickBot="1">
      <c r="B1406" s="216">
        <v>140</v>
      </c>
      <c r="T1406" s="270">
        <v>9.2200000000000006</v>
      </c>
      <c r="U1406" s="270">
        <v>0.73</v>
      </c>
    </row>
    <row r="1407" spans="2:21" ht="17.399999999999999" thickTop="1" thickBot="1">
      <c r="B1407" s="103">
        <v>140.1</v>
      </c>
      <c r="T1407" s="270">
        <v>9.23</v>
      </c>
      <c r="U1407" s="270">
        <v>0.73</v>
      </c>
    </row>
    <row r="1408" spans="2:21" ht="17.399999999999999" thickTop="1" thickBot="1">
      <c r="B1408" s="216">
        <v>140.19999999999999</v>
      </c>
      <c r="T1408" s="270">
        <v>9.25</v>
      </c>
      <c r="U1408" s="270">
        <v>0.73</v>
      </c>
    </row>
    <row r="1409" spans="2:21" ht="17.399999999999999" thickTop="1" thickBot="1">
      <c r="B1409" s="103">
        <v>140.30000000000001</v>
      </c>
      <c r="T1409" s="270">
        <v>9.26</v>
      </c>
      <c r="U1409" s="270">
        <v>0.73</v>
      </c>
    </row>
    <row r="1410" spans="2:21" ht="17.399999999999999" thickTop="1" thickBot="1">
      <c r="B1410" s="216">
        <v>140.4</v>
      </c>
      <c r="T1410" s="270">
        <v>9.27</v>
      </c>
      <c r="U1410" s="270">
        <v>0.73</v>
      </c>
    </row>
    <row r="1411" spans="2:21" ht="17.399999999999999" thickTop="1" thickBot="1">
      <c r="B1411" s="103">
        <v>140.5</v>
      </c>
      <c r="T1411" s="270">
        <v>9.2899999999999991</v>
      </c>
      <c r="U1411" s="270">
        <v>0.73</v>
      </c>
    </row>
    <row r="1412" spans="2:21" ht="17.399999999999999" thickTop="1" thickBot="1">
      <c r="B1412" s="216">
        <v>140.6</v>
      </c>
      <c r="T1412" s="270">
        <v>9.3000000000000007</v>
      </c>
      <c r="U1412" s="270">
        <v>0.73</v>
      </c>
    </row>
    <row r="1413" spans="2:21" ht="17.399999999999999" thickTop="1" thickBot="1">
      <c r="B1413" s="103">
        <v>140.69999999999999</v>
      </c>
      <c r="T1413" s="270">
        <v>9.31</v>
      </c>
      <c r="U1413" s="270">
        <v>0.73</v>
      </c>
    </row>
    <row r="1414" spans="2:21" ht="17.399999999999999" thickTop="1" thickBot="1">
      <c r="B1414" s="216">
        <v>140.80000000000001</v>
      </c>
      <c r="T1414" s="270">
        <v>9.33</v>
      </c>
      <c r="U1414" s="270">
        <v>0.73</v>
      </c>
    </row>
    <row r="1415" spans="2:21" ht="17.399999999999999" thickTop="1" thickBot="1">
      <c r="B1415" s="103">
        <v>140.9</v>
      </c>
      <c r="T1415" s="270">
        <v>9.34</v>
      </c>
      <c r="U1415" s="270">
        <v>0.73</v>
      </c>
    </row>
    <row r="1416" spans="2:21" ht="17.399999999999999" thickTop="1" thickBot="1">
      <c r="B1416" s="216">
        <v>141</v>
      </c>
      <c r="T1416" s="270">
        <v>9.35</v>
      </c>
      <c r="U1416" s="270">
        <v>0.74</v>
      </c>
    </row>
    <row r="1417" spans="2:21" ht="17.399999999999999" thickTop="1" thickBot="1">
      <c r="B1417" s="103">
        <v>141.1</v>
      </c>
      <c r="T1417" s="270">
        <v>9.3699999999999992</v>
      </c>
      <c r="U1417" s="270">
        <v>0.74</v>
      </c>
    </row>
    <row r="1418" spans="2:21" ht="17.399999999999999" thickTop="1" thickBot="1">
      <c r="B1418" s="216">
        <v>141.19999999999999</v>
      </c>
      <c r="T1418" s="270">
        <v>9.3800000000000008</v>
      </c>
      <c r="U1418" s="270">
        <v>0.74</v>
      </c>
    </row>
    <row r="1419" spans="2:21" ht="17.399999999999999" thickTop="1" thickBot="1">
      <c r="B1419" s="103">
        <v>141.30000000000001</v>
      </c>
      <c r="T1419" s="270">
        <v>9.39</v>
      </c>
      <c r="U1419" s="270">
        <v>0.74</v>
      </c>
    </row>
    <row r="1420" spans="2:21" ht="17.399999999999999" thickTop="1" thickBot="1">
      <c r="B1420" s="216">
        <v>141.4</v>
      </c>
      <c r="T1420" s="270">
        <v>9.41</v>
      </c>
      <c r="U1420" s="270">
        <v>0.74</v>
      </c>
    </row>
    <row r="1421" spans="2:21" ht="17.399999999999999" thickTop="1" thickBot="1">
      <c r="B1421" s="103">
        <v>141.5</v>
      </c>
      <c r="T1421" s="270">
        <v>9.42</v>
      </c>
      <c r="U1421" s="270">
        <v>0.74</v>
      </c>
    </row>
    <row r="1422" spans="2:21" ht="17.399999999999999" thickTop="1" thickBot="1">
      <c r="B1422" s="216">
        <v>141.6</v>
      </c>
      <c r="T1422" s="270">
        <v>9.43</v>
      </c>
      <c r="U1422" s="270">
        <v>0.74</v>
      </c>
    </row>
    <row r="1423" spans="2:21" ht="17.399999999999999" thickTop="1" thickBot="1">
      <c r="B1423" s="103">
        <v>141.69999999999899</v>
      </c>
      <c r="T1423" s="270">
        <v>9.4499999999999993</v>
      </c>
      <c r="U1423" s="270">
        <v>0.74</v>
      </c>
    </row>
    <row r="1424" spans="2:21" ht="17.399999999999999" thickTop="1" thickBot="1">
      <c r="B1424" s="216">
        <v>141.80000000000001</v>
      </c>
      <c r="T1424" s="270">
        <v>9.4600000000000009</v>
      </c>
      <c r="U1424" s="270">
        <v>0.74</v>
      </c>
    </row>
    <row r="1425" spans="2:21" ht="17.399999999999999" thickTop="1" thickBot="1">
      <c r="B1425" s="103">
        <v>141.9</v>
      </c>
      <c r="T1425" s="270">
        <v>9.4700000000000006</v>
      </c>
      <c r="U1425" s="270">
        <v>0.75</v>
      </c>
    </row>
    <row r="1426" spans="2:21" ht="17.399999999999999" thickTop="1" thickBot="1">
      <c r="B1426" s="216">
        <v>142</v>
      </c>
      <c r="T1426" s="270">
        <v>9.49</v>
      </c>
      <c r="U1426" s="270">
        <v>0.75</v>
      </c>
    </row>
    <row r="1427" spans="2:21" ht="17.399999999999999" thickTop="1" thickBot="1">
      <c r="B1427" s="103">
        <v>142.1</v>
      </c>
      <c r="T1427" s="270">
        <v>9.5</v>
      </c>
      <c r="U1427" s="270">
        <v>0.75</v>
      </c>
    </row>
    <row r="1428" spans="2:21" ht="17.399999999999999" thickTop="1" thickBot="1">
      <c r="B1428" s="216">
        <v>142.19999999999899</v>
      </c>
      <c r="T1428" s="270">
        <v>9.51</v>
      </c>
      <c r="U1428" s="270">
        <v>0.75</v>
      </c>
    </row>
    <row r="1429" spans="2:21" ht="17.399999999999999" thickTop="1" thickBot="1">
      <c r="B1429" s="103">
        <v>142.30000000000001</v>
      </c>
      <c r="T1429" s="270">
        <v>9.5299999999999994</v>
      </c>
      <c r="U1429" s="270">
        <v>0.75</v>
      </c>
    </row>
    <row r="1430" spans="2:21" ht="17.399999999999999" thickTop="1" thickBot="1">
      <c r="B1430" s="216">
        <v>142.4</v>
      </c>
      <c r="T1430" s="270">
        <v>9.5399999999999991</v>
      </c>
      <c r="U1430" s="270">
        <v>0.75</v>
      </c>
    </row>
    <row r="1431" spans="2:21" ht="17.399999999999999" thickTop="1" thickBot="1">
      <c r="B1431" s="103">
        <v>142.5</v>
      </c>
      <c r="T1431" s="270">
        <v>9.5500000000000007</v>
      </c>
      <c r="U1431" s="270">
        <v>0.75</v>
      </c>
    </row>
    <row r="1432" spans="2:21" ht="17.399999999999999" thickTop="1" thickBot="1">
      <c r="B1432" s="216">
        <v>142.6</v>
      </c>
      <c r="T1432" s="270">
        <v>9.57</v>
      </c>
      <c r="U1432" s="270">
        <v>0.75</v>
      </c>
    </row>
    <row r="1433" spans="2:21" ht="17.399999999999999" thickTop="1" thickBot="1">
      <c r="B1433" s="103">
        <v>142.69999999999899</v>
      </c>
      <c r="T1433" s="270">
        <v>9.58</v>
      </c>
      <c r="U1433" s="270">
        <v>0.75</v>
      </c>
    </row>
    <row r="1434" spans="2:21" ht="17.399999999999999" thickTop="1" thickBot="1">
      <c r="B1434" s="216">
        <v>142.80000000000001</v>
      </c>
      <c r="T1434" s="270">
        <v>9.59</v>
      </c>
      <c r="U1434" s="270">
        <v>0.75</v>
      </c>
    </row>
    <row r="1435" spans="2:21" ht="17.399999999999999" thickTop="1" thickBot="1">
      <c r="B1435" s="103">
        <v>142.9</v>
      </c>
      <c r="T1435" s="270">
        <v>9.61</v>
      </c>
      <c r="U1435" s="270">
        <v>0.76</v>
      </c>
    </row>
    <row r="1436" spans="2:21" ht="17.399999999999999" thickTop="1" thickBot="1">
      <c r="B1436" s="216">
        <v>143</v>
      </c>
      <c r="T1436" s="270">
        <v>9.6199999999999992</v>
      </c>
      <c r="U1436" s="270">
        <v>0.76</v>
      </c>
    </row>
    <row r="1437" spans="2:21" ht="17.399999999999999" thickTop="1" thickBot="1">
      <c r="B1437" s="103">
        <v>143.1</v>
      </c>
      <c r="T1437" s="270">
        <v>9.6300000000000008</v>
      </c>
      <c r="U1437" s="270">
        <v>0.76</v>
      </c>
    </row>
    <row r="1438" spans="2:21" ht="17.399999999999999" thickTop="1" thickBot="1">
      <c r="B1438" s="216">
        <v>143.19999999999899</v>
      </c>
      <c r="T1438" s="270">
        <v>9.65</v>
      </c>
      <c r="U1438" s="270">
        <v>0.76</v>
      </c>
    </row>
    <row r="1439" spans="2:21" ht="17.399999999999999" thickTop="1" thickBot="1">
      <c r="B1439" s="103">
        <v>143.30000000000001</v>
      </c>
      <c r="T1439" s="270">
        <v>9.66</v>
      </c>
      <c r="U1439" s="270">
        <v>0.76</v>
      </c>
    </row>
    <row r="1440" spans="2:21" ht="17.399999999999999" thickTop="1" thickBot="1">
      <c r="B1440" s="216">
        <v>143.4</v>
      </c>
      <c r="T1440" s="270">
        <v>9.67</v>
      </c>
      <c r="U1440" s="270">
        <v>0.76</v>
      </c>
    </row>
    <row r="1441" spans="2:21" ht="17.399999999999999" thickTop="1" thickBot="1">
      <c r="B1441" s="103">
        <v>143.5</v>
      </c>
      <c r="T1441" s="270">
        <v>9.69</v>
      </c>
      <c r="U1441" s="270">
        <v>0.76</v>
      </c>
    </row>
    <row r="1442" spans="2:21" ht="17.399999999999999" thickTop="1" thickBot="1">
      <c r="B1442" s="216">
        <v>143.6</v>
      </c>
      <c r="T1442" s="270">
        <v>9.6999999999999993</v>
      </c>
      <c r="U1442" s="270">
        <v>0.76</v>
      </c>
    </row>
    <row r="1443" spans="2:21" ht="17.399999999999999" thickTop="1" thickBot="1">
      <c r="B1443" s="103">
        <v>143.69999999999899</v>
      </c>
      <c r="T1443" s="270">
        <v>9.7200000000000006</v>
      </c>
      <c r="U1443" s="270">
        <v>0.76</v>
      </c>
    </row>
    <row r="1444" spans="2:21" ht="17.399999999999999" thickTop="1" thickBot="1">
      <c r="B1444" s="216">
        <v>143.79999999999899</v>
      </c>
      <c r="T1444" s="270">
        <v>9.73</v>
      </c>
      <c r="U1444" s="270">
        <v>0.77</v>
      </c>
    </row>
    <row r="1445" spans="2:21" ht="17.399999999999999" thickTop="1" thickBot="1">
      <c r="B1445" s="103">
        <v>143.9</v>
      </c>
      <c r="T1445" s="270">
        <v>9.74</v>
      </c>
      <c r="U1445" s="270">
        <v>0.77</v>
      </c>
    </row>
    <row r="1446" spans="2:21" ht="17.399999999999999" thickTop="1" thickBot="1">
      <c r="B1446" s="216">
        <v>144</v>
      </c>
      <c r="T1446" s="270">
        <v>9.76</v>
      </c>
      <c r="U1446" s="270">
        <v>0.77</v>
      </c>
    </row>
    <row r="1447" spans="2:21" ht="17.399999999999999" thickTop="1" thickBot="1">
      <c r="B1447" s="103">
        <v>144.1</v>
      </c>
      <c r="T1447" s="270">
        <v>9.77</v>
      </c>
      <c r="U1447" s="270">
        <v>0.77</v>
      </c>
    </row>
    <row r="1448" spans="2:21" ht="17.399999999999999" thickTop="1" thickBot="1">
      <c r="B1448" s="216">
        <v>144.19999999999899</v>
      </c>
      <c r="T1448" s="270">
        <v>9.7799999999999994</v>
      </c>
      <c r="U1448" s="270">
        <v>0.77</v>
      </c>
    </row>
    <row r="1449" spans="2:21" ht="17.399999999999999" thickTop="1" thickBot="1">
      <c r="B1449" s="103">
        <v>144.29999999999899</v>
      </c>
      <c r="T1449" s="270">
        <v>9.8000000000000007</v>
      </c>
      <c r="U1449" s="270">
        <v>0.77</v>
      </c>
    </row>
    <row r="1450" spans="2:21" ht="17.399999999999999" thickTop="1" thickBot="1">
      <c r="B1450" s="216">
        <v>144.4</v>
      </c>
      <c r="T1450" s="270">
        <v>9.81</v>
      </c>
      <c r="U1450" s="270">
        <v>0.77</v>
      </c>
    </row>
    <row r="1451" spans="2:21" ht="17.399999999999999" thickTop="1" thickBot="1">
      <c r="B1451" s="103">
        <v>144.5</v>
      </c>
      <c r="T1451" s="270">
        <v>9.82</v>
      </c>
      <c r="U1451" s="270">
        <v>0.77</v>
      </c>
    </row>
    <row r="1452" spans="2:21" ht="17.399999999999999" thickTop="1" thickBot="1">
      <c r="B1452" s="216">
        <v>144.6</v>
      </c>
      <c r="T1452" s="270">
        <v>9.84</v>
      </c>
      <c r="U1452" s="270">
        <v>0.77</v>
      </c>
    </row>
    <row r="1453" spans="2:21" ht="17.399999999999999" thickTop="1" thickBot="1">
      <c r="B1453" s="103">
        <v>144.69999999999899</v>
      </c>
      <c r="T1453" s="270">
        <v>9.85</v>
      </c>
      <c r="U1453" s="270">
        <v>0.77</v>
      </c>
    </row>
    <row r="1454" spans="2:21" ht="17.399999999999999" thickTop="1" thickBot="1">
      <c r="B1454" s="216">
        <v>144.79999999999899</v>
      </c>
      <c r="T1454" s="270">
        <v>9.86</v>
      </c>
      <c r="U1454" s="270">
        <v>0.78</v>
      </c>
    </row>
    <row r="1455" spans="2:21" ht="17.399999999999999" thickTop="1" thickBot="1">
      <c r="B1455" s="103">
        <v>144.89999999999901</v>
      </c>
      <c r="T1455" s="270">
        <v>9.8800000000000008</v>
      </c>
      <c r="U1455" s="270">
        <v>0.78</v>
      </c>
    </row>
    <row r="1456" spans="2:21" ht="17.399999999999999" thickTop="1" thickBot="1">
      <c r="B1456" s="216">
        <v>145</v>
      </c>
      <c r="T1456" s="270">
        <v>9.89</v>
      </c>
      <c r="U1456" s="270">
        <v>0.78</v>
      </c>
    </row>
    <row r="1457" spans="2:21" ht="17.399999999999999" thickTop="1" thickBot="1">
      <c r="B1457" s="103">
        <v>145.1</v>
      </c>
      <c r="T1457" s="270">
        <v>9.91</v>
      </c>
      <c r="U1457" s="270">
        <v>0.78</v>
      </c>
    </row>
    <row r="1458" spans="2:21" ht="17.399999999999999" thickTop="1" thickBot="1">
      <c r="B1458" s="216">
        <v>145.19999999999899</v>
      </c>
      <c r="T1458" s="270">
        <v>9.92</v>
      </c>
      <c r="U1458" s="270">
        <v>0.78</v>
      </c>
    </row>
    <row r="1459" spans="2:21" ht="17.399999999999999" thickTop="1" thickBot="1">
      <c r="B1459" s="103">
        <v>145.29999999999899</v>
      </c>
      <c r="T1459" s="270">
        <v>9.93</v>
      </c>
      <c r="U1459" s="270">
        <v>0.78</v>
      </c>
    </row>
    <row r="1460" spans="2:21" ht="17.399999999999999" thickTop="1" thickBot="1">
      <c r="B1460" s="216">
        <v>145.39999999999901</v>
      </c>
      <c r="T1460" s="270">
        <v>9.9499999999999993</v>
      </c>
      <c r="U1460" s="270">
        <v>0.78</v>
      </c>
    </row>
    <row r="1461" spans="2:21" ht="17.399999999999999" thickTop="1" thickBot="1">
      <c r="B1461" s="103">
        <v>145.5</v>
      </c>
      <c r="T1461" s="270">
        <v>9.9600000000000009</v>
      </c>
      <c r="U1461" s="270">
        <v>0.78</v>
      </c>
    </row>
    <row r="1462" spans="2:21" ht="17.399999999999999" thickTop="1" thickBot="1">
      <c r="B1462" s="216">
        <v>145.6</v>
      </c>
      <c r="T1462" s="270">
        <v>9.9700000000000006</v>
      </c>
      <c r="U1462" s="270">
        <v>0.78</v>
      </c>
    </row>
    <row r="1463" spans="2:21" ht="17.399999999999999" thickTop="1" thickBot="1">
      <c r="B1463" s="103">
        <v>145.69999999999899</v>
      </c>
      <c r="T1463" s="270">
        <v>9.99</v>
      </c>
      <c r="U1463" s="270">
        <v>0.79</v>
      </c>
    </row>
    <row r="1464" spans="2:21" ht="17.399999999999999" thickTop="1" thickBot="1">
      <c r="B1464" s="216">
        <v>145.79999999999899</v>
      </c>
      <c r="T1464" s="270">
        <v>10</v>
      </c>
      <c r="U1464" s="270">
        <v>0.79</v>
      </c>
    </row>
    <row r="1465" spans="2:21" ht="17.399999999999999" thickTop="1" thickBot="1">
      <c r="B1465" s="103">
        <v>145.89999999999901</v>
      </c>
      <c r="T1465" s="270">
        <v>10.01</v>
      </c>
      <c r="U1465" s="270">
        <v>0.79</v>
      </c>
    </row>
    <row r="1466" spans="2:21" ht="17.399999999999999" thickTop="1" thickBot="1">
      <c r="B1466" s="216">
        <v>146</v>
      </c>
      <c r="T1466" s="270">
        <v>10.029999999999999</v>
      </c>
      <c r="U1466" s="270">
        <v>0.79</v>
      </c>
    </row>
    <row r="1467" spans="2:21" ht="17.399999999999999" thickTop="1" thickBot="1">
      <c r="B1467" s="103">
        <v>146.1</v>
      </c>
      <c r="T1467" s="270">
        <v>10.039999999999999</v>
      </c>
      <c r="U1467" s="270">
        <v>0.79</v>
      </c>
    </row>
    <row r="1468" spans="2:21" ht="17.399999999999999" thickTop="1" thickBot="1">
      <c r="B1468" s="216">
        <v>146.19999999999899</v>
      </c>
      <c r="T1468" s="270">
        <v>10.06</v>
      </c>
      <c r="U1468" s="270">
        <v>0.79</v>
      </c>
    </row>
    <row r="1469" spans="2:21" ht="17.399999999999999" thickTop="1" thickBot="1">
      <c r="B1469" s="103">
        <v>146.29999999999899</v>
      </c>
      <c r="T1469" s="270">
        <v>10.07</v>
      </c>
      <c r="U1469" s="270">
        <v>0.79</v>
      </c>
    </row>
    <row r="1470" spans="2:21" ht="17.399999999999999" thickTop="1" thickBot="1">
      <c r="B1470" s="216">
        <v>146.39999999999901</v>
      </c>
      <c r="T1470" s="270">
        <v>10.08</v>
      </c>
      <c r="U1470" s="270">
        <v>0.79</v>
      </c>
    </row>
    <row r="1471" spans="2:21" ht="17.399999999999999" thickTop="1" thickBot="1">
      <c r="B1471" s="103">
        <v>146.5</v>
      </c>
      <c r="T1471" s="270">
        <v>10.1</v>
      </c>
      <c r="U1471" s="270">
        <v>0.79</v>
      </c>
    </row>
    <row r="1472" spans="2:21" ht="17.399999999999999" thickTop="1" thickBot="1">
      <c r="B1472" s="216">
        <v>146.6</v>
      </c>
      <c r="T1472" s="270">
        <v>10.11</v>
      </c>
      <c r="U1472" s="270">
        <v>0.8</v>
      </c>
    </row>
    <row r="1473" spans="2:21" ht="17.399999999999999" thickTop="1" thickBot="1">
      <c r="B1473" s="103">
        <v>146.69999999999899</v>
      </c>
      <c r="T1473" s="270">
        <v>10.119999999999999</v>
      </c>
      <c r="U1473" s="270">
        <v>0.8</v>
      </c>
    </row>
    <row r="1474" spans="2:21" ht="17.399999999999999" thickTop="1" thickBot="1">
      <c r="B1474" s="216">
        <v>146.79999999999899</v>
      </c>
      <c r="T1474" s="270">
        <v>10.14</v>
      </c>
      <c r="U1474" s="270">
        <v>0.8</v>
      </c>
    </row>
    <row r="1475" spans="2:21" ht="17.399999999999999" thickTop="1" thickBot="1">
      <c r="B1475" s="103">
        <v>146.89999999999901</v>
      </c>
      <c r="T1475" s="270">
        <v>10.15</v>
      </c>
      <c r="U1475" s="270">
        <v>0.8</v>
      </c>
    </row>
    <row r="1476" spans="2:21" ht="17.399999999999999" thickTop="1" thickBot="1">
      <c r="B1476" s="216">
        <v>146.99999999999901</v>
      </c>
      <c r="T1476" s="270">
        <v>10.17</v>
      </c>
      <c r="U1476" s="270">
        <v>0.8</v>
      </c>
    </row>
    <row r="1477" spans="2:21" ht="17.399999999999999" thickTop="1" thickBot="1">
      <c r="B1477" s="103">
        <v>147.1</v>
      </c>
      <c r="T1477" s="270">
        <v>10.18</v>
      </c>
      <c r="U1477" s="270">
        <v>0.8</v>
      </c>
    </row>
    <row r="1478" spans="2:21" ht="17.399999999999999" thickTop="1" thickBot="1">
      <c r="B1478" s="216">
        <v>147.19999999999899</v>
      </c>
      <c r="T1478" s="270">
        <v>10.19</v>
      </c>
      <c r="U1478" s="270">
        <v>0.8</v>
      </c>
    </row>
    <row r="1479" spans="2:21" ht="17.399999999999999" thickTop="1" thickBot="1">
      <c r="B1479" s="103">
        <v>147.29999999999899</v>
      </c>
      <c r="T1479" s="270">
        <v>10.210000000000001</v>
      </c>
      <c r="U1479" s="270">
        <v>0.8</v>
      </c>
    </row>
    <row r="1480" spans="2:21" ht="17.399999999999999" thickTop="1" thickBot="1">
      <c r="B1480" s="216">
        <v>147.39999999999901</v>
      </c>
      <c r="T1480" s="270">
        <v>10.220000000000001</v>
      </c>
      <c r="U1480" s="270">
        <v>0.8</v>
      </c>
    </row>
    <row r="1481" spans="2:21" ht="17.399999999999999" thickTop="1" thickBot="1">
      <c r="B1481" s="103">
        <v>147.49999999999901</v>
      </c>
      <c r="T1481" s="270">
        <v>10.24</v>
      </c>
      <c r="U1481" s="270">
        <v>0.81</v>
      </c>
    </row>
    <row r="1482" spans="2:21" ht="17.399999999999999" thickTop="1" thickBot="1">
      <c r="B1482" s="216">
        <v>147.6</v>
      </c>
      <c r="T1482" s="270">
        <v>10.25</v>
      </c>
      <c r="U1482" s="270">
        <v>0.81</v>
      </c>
    </row>
    <row r="1483" spans="2:21" ht="17.399999999999999" thickTop="1" thickBot="1">
      <c r="B1483" s="103">
        <v>147.69999999999899</v>
      </c>
      <c r="T1483" s="270">
        <v>10.26</v>
      </c>
      <c r="U1483" s="270">
        <v>0.81</v>
      </c>
    </row>
    <row r="1484" spans="2:21" ht="17.399999999999999" thickTop="1" thickBot="1">
      <c r="B1484" s="216">
        <v>147.79999999999899</v>
      </c>
      <c r="T1484" s="270">
        <v>10.28</v>
      </c>
      <c r="U1484" s="270">
        <v>0.81</v>
      </c>
    </row>
    <row r="1485" spans="2:21" ht="17.399999999999999" thickTop="1" thickBot="1">
      <c r="B1485" s="103">
        <v>147.89999999999901</v>
      </c>
      <c r="T1485" s="270">
        <v>10.29</v>
      </c>
      <c r="U1485" s="270">
        <v>0.81</v>
      </c>
    </row>
    <row r="1486" spans="2:21" ht="17.399999999999999" thickTop="1" thickBot="1">
      <c r="B1486" s="216">
        <v>147.99999999999901</v>
      </c>
      <c r="T1486" s="270">
        <v>10.31</v>
      </c>
      <c r="U1486" s="270">
        <v>0.81</v>
      </c>
    </row>
    <row r="1487" spans="2:21" ht="17.399999999999999" thickTop="1" thickBot="1">
      <c r="B1487" s="103">
        <v>148.099999999999</v>
      </c>
      <c r="T1487" s="270">
        <v>10.32</v>
      </c>
      <c r="U1487" s="270">
        <v>0.81</v>
      </c>
    </row>
    <row r="1488" spans="2:21" ht="17.399999999999999" thickTop="1" thickBot="1">
      <c r="B1488" s="216">
        <v>148.19999999999899</v>
      </c>
      <c r="T1488" s="270">
        <v>10.33</v>
      </c>
      <c r="U1488" s="270">
        <v>0.81</v>
      </c>
    </row>
    <row r="1489" spans="2:21" ht="17.399999999999999" thickTop="1" thickBot="1">
      <c r="B1489" s="103">
        <v>148.29999999999899</v>
      </c>
      <c r="T1489" s="270">
        <v>10.35</v>
      </c>
      <c r="U1489" s="270">
        <v>0.81</v>
      </c>
    </row>
    <row r="1490" spans="2:21" ht="17.399999999999999" thickTop="1" thickBot="1">
      <c r="B1490" s="216">
        <v>148.39999999999901</v>
      </c>
      <c r="T1490" s="270">
        <v>10.36</v>
      </c>
      <c r="U1490" s="270">
        <v>0.81</v>
      </c>
    </row>
    <row r="1491" spans="2:21" ht="17.399999999999999" thickTop="1" thickBot="1">
      <c r="B1491" s="103">
        <v>148.49999999999901</v>
      </c>
      <c r="T1491" s="270">
        <v>10.37</v>
      </c>
      <c r="U1491" s="270">
        <v>0.82</v>
      </c>
    </row>
    <row r="1492" spans="2:21" ht="17.399999999999999" thickTop="1" thickBot="1">
      <c r="B1492" s="216">
        <v>148.599999999999</v>
      </c>
      <c r="T1492" s="270">
        <v>10.39</v>
      </c>
      <c r="U1492" s="270">
        <v>0.82</v>
      </c>
    </row>
    <row r="1493" spans="2:21" ht="17.399999999999999" thickTop="1" thickBot="1">
      <c r="B1493" s="103">
        <v>148.69999999999899</v>
      </c>
      <c r="T1493" s="270">
        <v>10.4</v>
      </c>
      <c r="U1493" s="270">
        <v>0.82</v>
      </c>
    </row>
    <row r="1494" spans="2:21" ht="17.399999999999999" thickTop="1" thickBot="1">
      <c r="B1494" s="216">
        <v>148.79999999999899</v>
      </c>
      <c r="T1494" s="270">
        <v>10.42</v>
      </c>
      <c r="U1494" s="270">
        <v>0.82</v>
      </c>
    </row>
    <row r="1495" spans="2:21" ht="17.399999999999999" thickTop="1" thickBot="1">
      <c r="B1495" s="103">
        <v>148.89999999999901</v>
      </c>
      <c r="T1495" s="270">
        <v>10.43</v>
      </c>
      <c r="U1495" s="270">
        <v>0.82</v>
      </c>
    </row>
    <row r="1496" spans="2:21" ht="17.399999999999999" thickTop="1" thickBot="1">
      <c r="B1496" s="216">
        <v>148.99999999999901</v>
      </c>
      <c r="T1496" s="270">
        <v>10.44</v>
      </c>
      <c r="U1496" s="270">
        <v>0.82</v>
      </c>
    </row>
    <row r="1497" spans="2:21" ht="17.399999999999999" thickTop="1" thickBot="1">
      <c r="B1497" s="103">
        <v>149.099999999999</v>
      </c>
      <c r="T1497" s="270">
        <v>10.46</v>
      </c>
      <c r="U1497" s="270">
        <v>0.82</v>
      </c>
    </row>
    <row r="1498" spans="2:21" ht="17.399999999999999" thickTop="1" thickBot="1">
      <c r="B1498" s="216">
        <v>149.19999999999899</v>
      </c>
      <c r="T1498" s="270">
        <v>10.47</v>
      </c>
      <c r="U1498" s="270">
        <v>0.82</v>
      </c>
    </row>
    <row r="1499" spans="2:21" ht="17.399999999999999" thickTop="1" thickBot="1">
      <c r="B1499" s="103">
        <v>149.29999999999899</v>
      </c>
      <c r="T1499" s="270">
        <v>10.49</v>
      </c>
      <c r="U1499" s="270">
        <v>0.82</v>
      </c>
    </row>
    <row r="1500" spans="2:21" ht="17.399999999999999" thickTop="1" thickBot="1">
      <c r="B1500" s="216">
        <v>149.39999999999901</v>
      </c>
      <c r="T1500" s="270">
        <v>10.5</v>
      </c>
      <c r="U1500" s="270">
        <v>0.83</v>
      </c>
    </row>
    <row r="1501" spans="2:21" ht="17.399999999999999" thickTop="1" thickBot="1">
      <c r="B1501" s="103">
        <v>149.49999999999901</v>
      </c>
      <c r="T1501" s="270">
        <v>10.52</v>
      </c>
      <c r="U1501" s="270">
        <v>0.83</v>
      </c>
    </row>
    <row r="1502" spans="2:21" ht="17.399999999999999" thickTop="1" thickBot="1">
      <c r="B1502" s="216">
        <v>149.599999999999</v>
      </c>
      <c r="T1502" s="270">
        <v>10.53</v>
      </c>
      <c r="U1502" s="270">
        <v>0.83</v>
      </c>
    </row>
    <row r="1503" spans="2:21" ht="17.399999999999999" thickTop="1" thickBot="1">
      <c r="B1503" s="103">
        <v>149.69999999999899</v>
      </c>
      <c r="T1503" s="270">
        <v>10.54</v>
      </c>
      <c r="U1503" s="270">
        <v>0.83</v>
      </c>
    </row>
    <row r="1504" spans="2:21" ht="17.399999999999999" thickTop="1" thickBot="1">
      <c r="B1504" s="216">
        <v>149.79999999999899</v>
      </c>
      <c r="T1504" s="270">
        <v>10.56</v>
      </c>
      <c r="U1504" s="270">
        <v>0.83</v>
      </c>
    </row>
    <row r="1505" spans="2:21" ht="17.399999999999999" thickTop="1" thickBot="1">
      <c r="B1505" s="103">
        <v>149.89999999999901</v>
      </c>
      <c r="T1505" s="270">
        <v>10.57</v>
      </c>
      <c r="U1505" s="270">
        <v>0.83</v>
      </c>
    </row>
    <row r="1506" spans="2:21" ht="17.399999999999999" thickTop="1" thickBot="1">
      <c r="B1506" s="216">
        <v>149.99999999999901</v>
      </c>
      <c r="T1506" s="270">
        <v>10.59</v>
      </c>
      <c r="U1506" s="270">
        <v>0.83</v>
      </c>
    </row>
    <row r="1507" spans="2:21" ht="17.399999999999999" thickTop="1" thickBot="1">
      <c r="B1507" s="103">
        <v>150.099999999999</v>
      </c>
      <c r="T1507" s="270">
        <v>10.6</v>
      </c>
      <c r="U1507" s="270">
        <v>0.83</v>
      </c>
    </row>
    <row r="1508" spans="2:21" ht="17.399999999999999" thickTop="1" thickBot="1">
      <c r="B1508" s="216">
        <v>150.19999999999899</v>
      </c>
      <c r="T1508" s="270">
        <v>10.61</v>
      </c>
      <c r="U1508" s="270">
        <v>0.83</v>
      </c>
    </row>
    <row r="1509" spans="2:21" ht="17.399999999999999" thickTop="1" thickBot="1">
      <c r="B1509" s="103">
        <v>150.29999999999899</v>
      </c>
      <c r="T1509" s="270">
        <v>10.63</v>
      </c>
      <c r="U1509" s="270">
        <v>0.84</v>
      </c>
    </row>
    <row r="1510" spans="2:21" ht="17.399999999999999" thickTop="1" thickBot="1">
      <c r="B1510" s="216">
        <v>150.39999999999901</v>
      </c>
      <c r="T1510" s="270">
        <v>10.64</v>
      </c>
      <c r="U1510" s="270">
        <v>0.84</v>
      </c>
    </row>
    <row r="1511" spans="2:21" ht="17.399999999999999" thickTop="1" thickBot="1">
      <c r="B1511" s="103">
        <v>150.49999999999901</v>
      </c>
      <c r="T1511" s="270">
        <v>10.66</v>
      </c>
      <c r="U1511" s="270">
        <v>0.84</v>
      </c>
    </row>
    <row r="1512" spans="2:21" ht="17.399999999999999" thickTop="1" thickBot="1">
      <c r="B1512" s="216">
        <v>150.599999999999</v>
      </c>
      <c r="T1512" s="270">
        <v>10.67</v>
      </c>
      <c r="U1512" s="270">
        <v>0.84</v>
      </c>
    </row>
    <row r="1513" spans="2:21" ht="17.399999999999999" thickTop="1" thickBot="1">
      <c r="B1513" s="103">
        <v>150.69999999999899</v>
      </c>
      <c r="T1513" s="270">
        <v>10.68</v>
      </c>
      <c r="U1513" s="270">
        <v>0.84</v>
      </c>
    </row>
    <row r="1514" spans="2:21" ht="17.399999999999999" thickTop="1" thickBot="1">
      <c r="B1514" s="216">
        <v>150.79999999999899</v>
      </c>
      <c r="T1514" s="270">
        <v>10.7</v>
      </c>
      <c r="U1514" s="270">
        <v>0.84</v>
      </c>
    </row>
    <row r="1515" spans="2:21" ht="17.399999999999999" thickTop="1" thickBot="1">
      <c r="B1515" s="103">
        <v>150.89999999999901</v>
      </c>
      <c r="T1515" s="270">
        <v>10.71</v>
      </c>
      <c r="U1515" s="270">
        <v>0.84</v>
      </c>
    </row>
    <row r="1516" spans="2:21" ht="17.399999999999999" thickTop="1" thickBot="1">
      <c r="B1516" s="216">
        <v>150.99999999999901</v>
      </c>
      <c r="T1516" s="270">
        <v>10.73</v>
      </c>
      <c r="U1516" s="270">
        <v>0.84</v>
      </c>
    </row>
    <row r="1517" spans="2:21" ht="17.399999999999999" thickTop="1" thickBot="1">
      <c r="B1517" s="103">
        <v>151.099999999999</v>
      </c>
      <c r="T1517" s="270">
        <v>10.74</v>
      </c>
      <c r="U1517" s="270">
        <v>0.84</v>
      </c>
    </row>
    <row r="1518" spans="2:21" ht="17.399999999999999" thickTop="1" thickBot="1">
      <c r="B1518" s="216">
        <v>151.19999999999899</v>
      </c>
      <c r="T1518" s="270">
        <v>10.76</v>
      </c>
      <c r="U1518" s="270">
        <v>0.85</v>
      </c>
    </row>
    <row r="1519" spans="2:21" ht="17.399999999999999" thickTop="1" thickBot="1">
      <c r="B1519" s="103">
        <v>151.29999999999899</v>
      </c>
      <c r="T1519" s="270">
        <v>10.77</v>
      </c>
      <c r="U1519" s="270">
        <v>0.85</v>
      </c>
    </row>
    <row r="1520" spans="2:21" ht="17.399999999999999" thickTop="1" thickBot="1">
      <c r="B1520" s="216">
        <v>151.39999999999901</v>
      </c>
      <c r="T1520" s="270">
        <v>10.78</v>
      </c>
      <c r="U1520" s="270">
        <v>0.85</v>
      </c>
    </row>
    <row r="1521" spans="2:21" ht="17.399999999999999" thickTop="1" thickBot="1">
      <c r="B1521" s="103">
        <v>151.49999999999901</v>
      </c>
      <c r="T1521" s="270">
        <v>10.8</v>
      </c>
      <c r="U1521" s="270">
        <v>0.85</v>
      </c>
    </row>
    <row r="1522" spans="2:21" ht="17.399999999999999" thickTop="1" thickBot="1">
      <c r="B1522" s="216">
        <v>151.599999999999</v>
      </c>
      <c r="T1522" s="270">
        <v>10.81</v>
      </c>
      <c r="U1522" s="270">
        <v>0.85</v>
      </c>
    </row>
    <row r="1523" spans="2:21" ht="17.399999999999999" thickTop="1" thickBot="1">
      <c r="B1523" s="103">
        <v>151.69999999999899</v>
      </c>
      <c r="T1523" s="270">
        <v>10.83</v>
      </c>
      <c r="U1523" s="270">
        <v>0.85</v>
      </c>
    </row>
    <row r="1524" spans="2:21" ht="17.399999999999999" thickTop="1" thickBot="1">
      <c r="B1524" s="216">
        <v>151.79999999999899</v>
      </c>
      <c r="T1524" s="270">
        <v>10.84</v>
      </c>
      <c r="U1524" s="270">
        <v>0.85</v>
      </c>
    </row>
    <row r="1525" spans="2:21" ht="17.399999999999999" thickTop="1" thickBot="1">
      <c r="B1525" s="103">
        <v>151.89999999999901</v>
      </c>
      <c r="T1525" s="270">
        <v>10.86</v>
      </c>
      <c r="U1525" s="270">
        <v>0.85</v>
      </c>
    </row>
    <row r="1526" spans="2:21" ht="17.399999999999999" thickTop="1" thickBot="1">
      <c r="B1526" s="216">
        <v>151.99999999999901</v>
      </c>
      <c r="T1526" s="270">
        <v>10.87</v>
      </c>
      <c r="U1526" s="270">
        <v>0.85</v>
      </c>
    </row>
    <row r="1527" spans="2:21" ht="17.399999999999999" thickTop="1" thickBot="1">
      <c r="B1527" s="103">
        <v>152.099999999999</v>
      </c>
      <c r="T1527" s="270">
        <v>10.88</v>
      </c>
      <c r="U1527" s="270">
        <v>0.86</v>
      </c>
    </row>
    <row r="1528" spans="2:21" ht="17.399999999999999" thickTop="1" thickBot="1">
      <c r="B1528" s="216">
        <v>152.19999999999899</v>
      </c>
      <c r="T1528" s="270">
        <v>10.9</v>
      </c>
      <c r="U1528" s="270">
        <v>0.86</v>
      </c>
    </row>
    <row r="1529" spans="2:21" ht="17.399999999999999" thickTop="1" thickBot="1">
      <c r="B1529" s="103">
        <v>152.29999999999899</v>
      </c>
      <c r="T1529" s="270">
        <v>10.91</v>
      </c>
      <c r="U1529" s="270">
        <v>0.86</v>
      </c>
    </row>
    <row r="1530" spans="2:21" ht="17.399999999999999" thickTop="1" thickBot="1">
      <c r="B1530" s="216">
        <v>152.39999999999901</v>
      </c>
      <c r="T1530" s="270">
        <v>10.93</v>
      </c>
      <c r="U1530" s="270">
        <v>0.86</v>
      </c>
    </row>
    <row r="1531" spans="2:21" ht="17.399999999999999" thickTop="1" thickBot="1">
      <c r="B1531" s="103">
        <v>152.49999999999901</v>
      </c>
      <c r="T1531" s="270">
        <v>10.94</v>
      </c>
      <c r="U1531" s="270">
        <v>0.86</v>
      </c>
    </row>
    <row r="1532" spans="2:21" ht="17.399999999999999" thickTop="1" thickBot="1">
      <c r="B1532" s="216">
        <v>152.599999999999</v>
      </c>
      <c r="T1532" s="270">
        <v>10.96</v>
      </c>
      <c r="U1532" s="270">
        <v>0.86</v>
      </c>
    </row>
    <row r="1533" spans="2:21" ht="17.399999999999999" thickTop="1" thickBot="1">
      <c r="B1533" s="103">
        <v>152.69999999999899</v>
      </c>
      <c r="T1533" s="270">
        <v>10.97</v>
      </c>
      <c r="U1533" s="270">
        <v>0.86</v>
      </c>
    </row>
    <row r="1534" spans="2:21" ht="17.399999999999999" thickTop="1" thickBot="1">
      <c r="B1534" s="216">
        <v>152.79999999999899</v>
      </c>
      <c r="T1534" s="270">
        <v>10.98</v>
      </c>
      <c r="U1534" s="270">
        <v>0.86</v>
      </c>
    </row>
    <row r="1535" spans="2:21" ht="17.399999999999999" thickTop="1" thickBot="1">
      <c r="B1535" s="103">
        <v>152.89999999999901</v>
      </c>
      <c r="T1535" s="270">
        <v>11</v>
      </c>
      <c r="U1535" s="270">
        <v>0.87</v>
      </c>
    </row>
    <row r="1536" spans="2:21" ht="17.399999999999999" thickTop="1" thickBot="1">
      <c r="B1536" s="216">
        <v>152.99999999999901</v>
      </c>
      <c r="T1536" s="270">
        <v>11.01</v>
      </c>
      <c r="U1536" s="270">
        <v>0.87</v>
      </c>
    </row>
    <row r="1537" spans="2:21" ht="17.399999999999999" thickTop="1" thickBot="1">
      <c r="B1537" s="103">
        <v>153.099999999999</v>
      </c>
      <c r="T1537" s="270">
        <v>11.03</v>
      </c>
      <c r="U1537" s="270">
        <v>0.87</v>
      </c>
    </row>
    <row r="1538" spans="2:21" ht="17.399999999999999" thickTop="1" thickBot="1">
      <c r="B1538" s="216">
        <v>153.19999999999899</v>
      </c>
      <c r="T1538" s="270">
        <v>11.04</v>
      </c>
      <c r="U1538" s="270">
        <v>0.87</v>
      </c>
    </row>
    <row r="1539" spans="2:21" ht="17.399999999999999" thickTop="1" thickBot="1">
      <c r="B1539" s="103">
        <v>153.29999999999899</v>
      </c>
      <c r="T1539" s="270">
        <v>11.06</v>
      </c>
      <c r="U1539" s="270">
        <v>0.87</v>
      </c>
    </row>
    <row r="1540" spans="2:21" ht="17.399999999999999" thickTop="1" thickBot="1">
      <c r="B1540" s="216">
        <v>153.39999999999901</v>
      </c>
      <c r="T1540" s="270">
        <v>11.07</v>
      </c>
      <c r="U1540" s="270">
        <v>0.87</v>
      </c>
    </row>
    <row r="1541" spans="2:21" ht="17.399999999999999" thickTop="1" thickBot="1">
      <c r="B1541" s="103">
        <v>153.49999999999901</v>
      </c>
      <c r="T1541" s="270">
        <v>11.09</v>
      </c>
      <c r="U1541" s="270">
        <v>0.87</v>
      </c>
    </row>
    <row r="1542" spans="2:21" ht="17.399999999999999" thickTop="1" thickBot="1">
      <c r="B1542" s="216">
        <v>153.599999999999</v>
      </c>
      <c r="T1542" s="270">
        <v>11.1</v>
      </c>
      <c r="U1542" s="270">
        <v>0.87</v>
      </c>
    </row>
    <row r="1543" spans="2:21" ht="17.399999999999999" thickTop="1" thickBot="1">
      <c r="B1543" s="103">
        <v>153.69999999999899</v>
      </c>
      <c r="T1543" s="270">
        <v>11.11</v>
      </c>
      <c r="U1543" s="270">
        <v>0.87</v>
      </c>
    </row>
    <row r="1544" spans="2:21" ht="17.399999999999999" thickTop="1" thickBot="1">
      <c r="B1544" s="216">
        <v>153.79999999999899</v>
      </c>
      <c r="T1544" s="270">
        <v>11.13</v>
      </c>
      <c r="U1544" s="270">
        <v>0.88</v>
      </c>
    </row>
    <row r="1545" spans="2:21" ht="17.399999999999999" thickTop="1" thickBot="1">
      <c r="B1545" s="103">
        <v>153.89999999999901</v>
      </c>
      <c r="T1545" s="270">
        <v>11.14</v>
      </c>
      <c r="U1545" s="270">
        <v>0.88</v>
      </c>
    </row>
    <row r="1546" spans="2:21" ht="17.399999999999999" thickTop="1" thickBot="1">
      <c r="B1546" s="216">
        <v>153.99999999999901</v>
      </c>
      <c r="T1546" s="270">
        <v>11.16</v>
      </c>
      <c r="U1546" s="270">
        <v>0.88</v>
      </c>
    </row>
    <row r="1547" spans="2:21" ht="17.399999999999999" thickTop="1" thickBot="1">
      <c r="B1547" s="103">
        <v>154.099999999999</v>
      </c>
      <c r="T1547" s="270">
        <v>11.17</v>
      </c>
      <c r="U1547" s="270">
        <v>0.88</v>
      </c>
    </row>
    <row r="1548" spans="2:21" ht="17.399999999999999" thickTop="1" thickBot="1">
      <c r="B1548" s="216">
        <v>154.19999999999899</v>
      </c>
      <c r="T1548" s="270">
        <v>11.19</v>
      </c>
      <c r="U1548" s="270">
        <v>0.88</v>
      </c>
    </row>
    <row r="1549" spans="2:21" ht="17.399999999999999" thickTop="1" thickBot="1">
      <c r="B1549" s="103">
        <v>154.29999999999899</v>
      </c>
      <c r="T1549" s="270">
        <v>11.2</v>
      </c>
      <c r="U1549" s="270">
        <v>0.88</v>
      </c>
    </row>
    <row r="1550" spans="2:21" ht="17.399999999999999" thickTop="1" thickBot="1">
      <c r="B1550" s="216">
        <v>154.39999999999901</v>
      </c>
      <c r="T1550" s="270">
        <v>11.22</v>
      </c>
      <c r="U1550" s="270">
        <v>0.88</v>
      </c>
    </row>
    <row r="1551" spans="2:21" ht="17.399999999999999" thickTop="1" thickBot="1">
      <c r="B1551" s="103">
        <v>154.49999999999901</v>
      </c>
      <c r="T1551" s="270">
        <v>11.23</v>
      </c>
      <c r="U1551" s="270">
        <v>0.88</v>
      </c>
    </row>
    <row r="1552" spans="2:21" ht="17.399999999999999" thickTop="1" thickBot="1">
      <c r="B1552" s="216">
        <v>154.599999999999</v>
      </c>
      <c r="T1552" s="270">
        <v>11.24</v>
      </c>
      <c r="U1552" s="270">
        <v>0.88</v>
      </c>
    </row>
    <row r="1553" spans="2:21" ht="17.399999999999999" thickTop="1" thickBot="1">
      <c r="B1553" s="103">
        <v>154.69999999999899</v>
      </c>
      <c r="T1553" s="270">
        <v>11.26</v>
      </c>
      <c r="U1553" s="270">
        <v>0.89</v>
      </c>
    </row>
    <row r="1554" spans="2:21" ht="17.399999999999999" thickTop="1" thickBot="1">
      <c r="B1554" s="216">
        <v>154.79999999999899</v>
      </c>
      <c r="T1554" s="270">
        <v>11.27</v>
      </c>
      <c r="U1554" s="270">
        <v>0.89</v>
      </c>
    </row>
    <row r="1555" spans="2:21" ht="17.399999999999999" thickTop="1" thickBot="1">
      <c r="B1555" s="103">
        <v>154.89999999999901</v>
      </c>
      <c r="T1555" s="270">
        <v>11.29</v>
      </c>
      <c r="U1555" s="270">
        <v>0.89</v>
      </c>
    </row>
    <row r="1556" spans="2:21" ht="17.399999999999999" thickTop="1" thickBot="1">
      <c r="B1556" s="216">
        <v>154.99999999999901</v>
      </c>
      <c r="T1556" s="270">
        <v>11.3</v>
      </c>
      <c r="U1556" s="270">
        <v>0.89</v>
      </c>
    </row>
    <row r="1557" spans="2:21" ht="17.399999999999999" thickTop="1" thickBot="1">
      <c r="B1557" s="103">
        <v>155.099999999999</v>
      </c>
      <c r="T1557" s="270">
        <v>11.32</v>
      </c>
      <c r="U1557" s="270">
        <v>0.89</v>
      </c>
    </row>
    <row r="1558" spans="2:21" ht="17.399999999999999" thickTop="1" thickBot="1">
      <c r="B1558" s="216">
        <v>155.19999999999899</v>
      </c>
      <c r="T1558" s="270">
        <v>11.33</v>
      </c>
      <c r="U1558" s="270">
        <v>0.89</v>
      </c>
    </row>
    <row r="1559" spans="2:21" ht="17.399999999999999" thickTop="1" thickBot="1">
      <c r="B1559" s="103">
        <v>155.29999999999899</v>
      </c>
      <c r="T1559" s="270">
        <v>11.35</v>
      </c>
      <c r="U1559" s="270">
        <v>0.89</v>
      </c>
    </row>
    <row r="1560" spans="2:21" ht="17.399999999999999" thickTop="1" thickBot="1">
      <c r="B1560" s="216">
        <v>155.39999999999901</v>
      </c>
      <c r="T1560" s="270">
        <v>11.36</v>
      </c>
      <c r="U1560" s="270">
        <v>0.89</v>
      </c>
    </row>
    <row r="1561" spans="2:21" ht="17.399999999999999" thickTop="1" thickBot="1">
      <c r="B1561" s="103">
        <v>155.49999999999901</v>
      </c>
      <c r="T1561" s="270">
        <v>11.38</v>
      </c>
      <c r="U1561" s="270">
        <v>0.89</v>
      </c>
    </row>
    <row r="1562" spans="2:21" ht="17.399999999999999" thickTop="1" thickBot="1">
      <c r="B1562" s="216">
        <v>155.599999999999</v>
      </c>
      <c r="T1562" s="270">
        <v>11.39</v>
      </c>
      <c r="U1562" s="270">
        <v>0.9</v>
      </c>
    </row>
    <row r="1563" spans="2:21" ht="17.399999999999999" thickTop="1" thickBot="1">
      <c r="B1563" s="103">
        <v>155.69999999999899</v>
      </c>
      <c r="T1563" s="270">
        <v>11.41</v>
      </c>
      <c r="U1563" s="270">
        <v>0.9</v>
      </c>
    </row>
    <row r="1564" spans="2:21" ht="17.399999999999999" thickTop="1" thickBot="1">
      <c r="B1564" s="216">
        <v>155.79999999999899</v>
      </c>
      <c r="T1564" s="270">
        <v>11.42</v>
      </c>
      <c r="U1564" s="270">
        <v>0.9</v>
      </c>
    </row>
    <row r="1565" spans="2:21" ht="17.399999999999999" thickTop="1" thickBot="1">
      <c r="B1565" s="103">
        <v>155.89999999999901</v>
      </c>
      <c r="T1565" s="270">
        <v>11.43</v>
      </c>
      <c r="U1565" s="270">
        <v>0.9</v>
      </c>
    </row>
    <row r="1566" spans="2:21" ht="17.399999999999999" thickTop="1" thickBot="1">
      <c r="B1566" s="216">
        <v>155.99999999999901</v>
      </c>
      <c r="T1566" s="270">
        <v>11.45</v>
      </c>
      <c r="U1566" s="270">
        <v>0.9</v>
      </c>
    </row>
    <row r="1567" spans="2:21" ht="17.399999999999999" thickTop="1" thickBot="1">
      <c r="B1567" s="103">
        <v>156.099999999999</v>
      </c>
      <c r="T1567" s="270">
        <v>11.46</v>
      </c>
      <c r="U1567" s="270">
        <v>0.9</v>
      </c>
    </row>
    <row r="1568" spans="2:21" ht="17.399999999999999" thickTop="1" thickBot="1">
      <c r="B1568" s="216">
        <v>156.19999999999899</v>
      </c>
      <c r="T1568" s="270">
        <v>11.48</v>
      </c>
      <c r="U1568" s="270">
        <v>0.9</v>
      </c>
    </row>
    <row r="1569" spans="2:21" ht="17.399999999999999" thickTop="1" thickBot="1">
      <c r="B1569" s="103">
        <v>156.29999999999899</v>
      </c>
      <c r="T1569" s="270">
        <v>11.49</v>
      </c>
      <c r="U1569" s="270">
        <v>0.9</v>
      </c>
    </row>
    <row r="1570" spans="2:21" ht="17.399999999999999" thickTop="1" thickBot="1">
      <c r="B1570" s="216">
        <v>156.39999999999901</v>
      </c>
      <c r="T1570" s="270">
        <v>11.51</v>
      </c>
      <c r="U1570" s="270">
        <v>0.91</v>
      </c>
    </row>
    <row r="1571" spans="2:21" ht="17.399999999999999" thickTop="1" thickBot="1">
      <c r="B1571" s="103">
        <v>156.49999999999901</v>
      </c>
      <c r="T1571" s="270">
        <v>11.52</v>
      </c>
      <c r="U1571" s="270">
        <v>0.91</v>
      </c>
    </row>
    <row r="1572" spans="2:21" ht="17.399999999999999" thickTop="1" thickBot="1">
      <c r="B1572" s="216">
        <v>156.599999999999</v>
      </c>
      <c r="T1572" s="270">
        <v>11.54</v>
      </c>
      <c r="U1572" s="270">
        <v>0.91</v>
      </c>
    </row>
    <row r="1573" spans="2:21" ht="17.399999999999999" thickTop="1" thickBot="1">
      <c r="B1573" s="103">
        <v>156.69999999999899</v>
      </c>
      <c r="T1573" s="270">
        <v>11.55</v>
      </c>
      <c r="U1573" s="270">
        <v>0.91</v>
      </c>
    </row>
    <row r="1574" spans="2:21" ht="17.399999999999999" thickTop="1" thickBot="1">
      <c r="B1574" s="216">
        <v>156.79999999999899</v>
      </c>
      <c r="T1574" s="270">
        <v>11.57</v>
      </c>
      <c r="U1574" s="270">
        <v>0.91</v>
      </c>
    </row>
    <row r="1575" spans="2:21" ht="17.399999999999999" thickTop="1" thickBot="1">
      <c r="B1575" s="103">
        <v>156.89999999999901</v>
      </c>
      <c r="T1575" s="270">
        <v>11.58</v>
      </c>
      <c r="U1575" s="270">
        <v>0.91</v>
      </c>
    </row>
    <row r="1576" spans="2:21" ht="17.399999999999999" thickTop="1" thickBot="1">
      <c r="B1576" s="216">
        <v>156.99999999999901</v>
      </c>
      <c r="T1576" s="270">
        <v>11.6</v>
      </c>
      <c r="U1576" s="270">
        <v>0.91</v>
      </c>
    </row>
    <row r="1577" spans="2:21" ht="17.399999999999999" thickTop="1" thickBot="1">
      <c r="B1577" s="103">
        <v>157.099999999999</v>
      </c>
      <c r="T1577" s="270">
        <v>11.61</v>
      </c>
      <c r="U1577" s="270">
        <v>0.91</v>
      </c>
    </row>
    <row r="1578" spans="2:21" ht="17.399999999999999" thickTop="1" thickBot="1">
      <c r="B1578" s="216">
        <v>157.19999999999899</v>
      </c>
      <c r="T1578" s="270">
        <v>11.63</v>
      </c>
      <c r="U1578" s="270">
        <v>0.91</v>
      </c>
    </row>
    <row r="1579" spans="2:21" ht="17.399999999999999" thickTop="1" thickBot="1">
      <c r="B1579" s="103">
        <v>157.29999999999899</v>
      </c>
      <c r="T1579" s="270">
        <v>11.64</v>
      </c>
      <c r="U1579" s="270">
        <v>0.92</v>
      </c>
    </row>
    <row r="1580" spans="2:21" ht="17.399999999999999" thickTop="1" thickBot="1">
      <c r="B1580" s="216">
        <v>157.39999999999901</v>
      </c>
      <c r="T1580" s="270">
        <v>11.66</v>
      </c>
      <c r="U1580" s="270">
        <v>0.92</v>
      </c>
    </row>
    <row r="1581" spans="2:21" ht="17.399999999999999" thickTop="1" thickBot="1">
      <c r="B1581" s="103">
        <v>157.49999999999901</v>
      </c>
      <c r="T1581" s="270">
        <v>11.67</v>
      </c>
      <c r="U1581" s="270">
        <v>0.92</v>
      </c>
    </row>
    <row r="1582" spans="2:21" ht="17.399999999999999" thickTop="1" thickBot="1">
      <c r="B1582" s="216">
        <v>157.599999999999</v>
      </c>
      <c r="T1582" s="270">
        <v>11.69</v>
      </c>
      <c r="U1582" s="270">
        <v>0.92</v>
      </c>
    </row>
    <row r="1583" spans="2:21" ht="17.399999999999999" thickTop="1" thickBot="1">
      <c r="B1583" s="103">
        <v>157.69999999999899</v>
      </c>
      <c r="T1583" s="270">
        <v>11.7</v>
      </c>
      <c r="U1583" s="270">
        <v>0.92</v>
      </c>
    </row>
    <row r="1584" spans="2:21" ht="17.399999999999999" thickTop="1" thickBot="1">
      <c r="B1584" s="216">
        <v>157.79999999999899</v>
      </c>
      <c r="T1584" s="270">
        <v>11.72</v>
      </c>
      <c r="U1584" s="270">
        <v>0.92</v>
      </c>
    </row>
    <row r="1585" spans="2:21" ht="17.399999999999999" thickTop="1" thickBot="1">
      <c r="B1585" s="103">
        <v>157.89999999999901</v>
      </c>
      <c r="T1585" s="270">
        <v>11.73</v>
      </c>
      <c r="U1585" s="270">
        <v>0.92</v>
      </c>
    </row>
    <row r="1586" spans="2:21" ht="17.399999999999999" thickTop="1" thickBot="1">
      <c r="B1586" s="216">
        <v>157.99999999999901</v>
      </c>
      <c r="T1586" s="270">
        <v>11.74</v>
      </c>
      <c r="U1586" s="270">
        <v>0.92</v>
      </c>
    </row>
    <row r="1587" spans="2:21" ht="17.399999999999999" thickTop="1" thickBot="1">
      <c r="B1587" s="103">
        <v>158.099999999999</v>
      </c>
      <c r="T1587" s="270">
        <v>11.76</v>
      </c>
      <c r="U1587" s="270">
        <v>0.92</v>
      </c>
    </row>
    <row r="1588" spans="2:21" ht="17.399999999999999" thickTop="1" thickBot="1">
      <c r="B1588" s="216">
        <v>158.19999999999899</v>
      </c>
      <c r="T1588" s="270">
        <v>11.77</v>
      </c>
      <c r="U1588" s="270">
        <v>0.93</v>
      </c>
    </row>
    <row r="1589" spans="2:21" ht="17.399999999999999" thickTop="1" thickBot="1">
      <c r="B1589" s="103">
        <v>158.29999999999899</v>
      </c>
      <c r="T1589" s="270">
        <v>11.79</v>
      </c>
      <c r="U1589" s="270">
        <v>0.93</v>
      </c>
    </row>
    <row r="1590" spans="2:21" ht="17.399999999999999" thickTop="1" thickBot="1">
      <c r="B1590" s="216">
        <v>158.39999999999901</v>
      </c>
      <c r="T1590" s="270">
        <v>11.8</v>
      </c>
      <c r="U1590" s="270">
        <v>0.93</v>
      </c>
    </row>
    <row r="1591" spans="2:21" ht="17.399999999999999" thickTop="1" thickBot="1">
      <c r="B1591" s="103">
        <v>158.49999999999901</v>
      </c>
      <c r="T1591" s="270">
        <v>11.82</v>
      </c>
      <c r="U1591" s="270">
        <v>0.93</v>
      </c>
    </row>
    <row r="1592" spans="2:21" ht="17.399999999999999" thickTop="1" thickBot="1">
      <c r="B1592" s="216">
        <v>158.599999999999</v>
      </c>
      <c r="T1592" s="270">
        <v>11.83</v>
      </c>
      <c r="U1592" s="270">
        <v>0.93</v>
      </c>
    </row>
    <row r="1593" spans="2:21" ht="17.399999999999999" thickTop="1" thickBot="1">
      <c r="B1593" s="103">
        <v>158.69999999999899</v>
      </c>
      <c r="T1593" s="270">
        <v>11.85</v>
      </c>
      <c r="U1593" s="270">
        <v>0.93</v>
      </c>
    </row>
    <row r="1594" spans="2:21" ht="17.399999999999999" thickTop="1" thickBot="1">
      <c r="B1594" s="216">
        <v>158.79999999999899</v>
      </c>
      <c r="T1594" s="270">
        <v>11.86</v>
      </c>
      <c r="U1594" s="270">
        <v>0.93</v>
      </c>
    </row>
    <row r="1595" spans="2:21" ht="17.399999999999999" thickTop="1" thickBot="1">
      <c r="B1595" s="103">
        <v>158.89999999999901</v>
      </c>
      <c r="T1595" s="270">
        <v>11.88</v>
      </c>
      <c r="U1595" s="270">
        <v>0.93</v>
      </c>
    </row>
    <row r="1596" spans="2:21" ht="17.399999999999999" thickTop="1" thickBot="1">
      <c r="B1596" s="216">
        <v>158.99999999999901</v>
      </c>
      <c r="T1596" s="270">
        <v>11.89</v>
      </c>
      <c r="U1596" s="270">
        <v>0.94</v>
      </c>
    </row>
    <row r="1597" spans="2:21" ht="17.399999999999999" thickTop="1" thickBot="1">
      <c r="B1597" s="103">
        <v>159.099999999999</v>
      </c>
      <c r="T1597" s="270">
        <v>11.91</v>
      </c>
      <c r="U1597" s="270">
        <v>0.94</v>
      </c>
    </row>
    <row r="1598" spans="2:21" ht="17.399999999999999" thickTop="1" thickBot="1">
      <c r="B1598" s="216">
        <v>159.19999999999899</v>
      </c>
      <c r="T1598" s="270">
        <v>11.92</v>
      </c>
      <c r="U1598" s="270">
        <v>0.94</v>
      </c>
    </row>
    <row r="1599" spans="2:21" ht="17.399999999999999" thickTop="1" thickBot="1">
      <c r="B1599" s="103">
        <v>159.29999999999899</v>
      </c>
      <c r="T1599" s="270">
        <v>11.94</v>
      </c>
      <c r="U1599" s="270">
        <v>0.94</v>
      </c>
    </row>
    <row r="1600" spans="2:21" ht="17.399999999999999" thickTop="1" thickBot="1">
      <c r="B1600" s="216">
        <v>159.39999999999901</v>
      </c>
      <c r="T1600" s="270">
        <v>11.95</v>
      </c>
      <c r="U1600" s="270">
        <v>0.94</v>
      </c>
    </row>
    <row r="1601" spans="2:21" ht="17.399999999999999" thickTop="1" thickBot="1">
      <c r="B1601" s="103">
        <v>159.49999999999901</v>
      </c>
      <c r="T1601" s="270">
        <v>11.97</v>
      </c>
      <c r="U1601" s="270">
        <v>0.94</v>
      </c>
    </row>
    <row r="1602" spans="2:21" ht="17.399999999999999" thickTop="1" thickBot="1">
      <c r="B1602" s="216">
        <v>159.599999999999</v>
      </c>
      <c r="T1602" s="270">
        <v>11.98</v>
      </c>
      <c r="U1602" s="270">
        <v>0.94</v>
      </c>
    </row>
    <row r="1603" spans="2:21" ht="17.399999999999999" thickTop="1" thickBot="1">
      <c r="B1603" s="103">
        <v>159.69999999999899</v>
      </c>
      <c r="T1603" s="270">
        <v>12</v>
      </c>
      <c r="U1603" s="270">
        <v>0.94</v>
      </c>
    </row>
    <row r="1604" spans="2:21" ht="17.399999999999999" thickTop="1" thickBot="1">
      <c r="B1604" s="216">
        <v>159.79999999999899</v>
      </c>
      <c r="T1604" s="270">
        <v>12.01</v>
      </c>
      <c r="U1604" s="270">
        <v>0.94</v>
      </c>
    </row>
    <row r="1605" spans="2:21" ht="17.399999999999999" thickTop="1" thickBot="1">
      <c r="B1605" s="103">
        <v>159.89999999999901</v>
      </c>
      <c r="T1605" s="270">
        <v>12.03</v>
      </c>
      <c r="U1605" s="270">
        <v>0.95</v>
      </c>
    </row>
    <row r="1606" spans="2:21" ht="17.399999999999999" thickTop="1" thickBot="1">
      <c r="B1606" s="216">
        <v>159.99999999999901</v>
      </c>
      <c r="T1606" s="270">
        <v>12.04</v>
      </c>
      <c r="U1606" s="270">
        <v>0.95</v>
      </c>
    </row>
    <row r="1607" spans="2:21" ht="17.399999999999999" thickTop="1" thickBot="1">
      <c r="B1607" s="103">
        <v>160.099999999999</v>
      </c>
      <c r="T1607" s="270">
        <v>12.06</v>
      </c>
      <c r="U1607" s="270">
        <v>0.95</v>
      </c>
    </row>
    <row r="1608" spans="2:21" ht="17.399999999999999" thickTop="1" thickBot="1">
      <c r="B1608" s="216">
        <v>160.19999999999899</v>
      </c>
      <c r="T1608" s="270">
        <v>12.07</v>
      </c>
      <c r="U1608" s="270">
        <v>0.95</v>
      </c>
    </row>
    <row r="1609" spans="2:21" ht="17.399999999999999" thickTop="1" thickBot="1">
      <c r="B1609" s="103">
        <v>160.29999999999899</v>
      </c>
      <c r="T1609" s="270">
        <v>12.09</v>
      </c>
      <c r="U1609" s="270">
        <v>0.95</v>
      </c>
    </row>
    <row r="1610" spans="2:21" ht="17.399999999999999" thickTop="1" thickBot="1">
      <c r="B1610" s="216">
        <v>160.39999999999901</v>
      </c>
      <c r="T1610" s="270">
        <v>12.1</v>
      </c>
      <c r="U1610" s="270">
        <v>0.95</v>
      </c>
    </row>
    <row r="1611" spans="2:21" ht="17.399999999999999" thickTop="1" thickBot="1">
      <c r="B1611" s="103">
        <v>160.49999999999901</v>
      </c>
      <c r="T1611" s="270">
        <v>12.12</v>
      </c>
      <c r="U1611" s="270">
        <v>0.95</v>
      </c>
    </row>
    <row r="1612" spans="2:21" ht="17.399999999999999" thickTop="1" thickBot="1">
      <c r="B1612" s="216">
        <v>160.599999999999</v>
      </c>
      <c r="T1612" s="270">
        <v>12.13</v>
      </c>
      <c r="U1612" s="270">
        <v>0.95</v>
      </c>
    </row>
    <row r="1613" spans="2:21" ht="17.399999999999999" thickTop="1" thickBot="1">
      <c r="B1613" s="103">
        <v>160.69999999999899</v>
      </c>
      <c r="T1613" s="270">
        <v>12.15</v>
      </c>
      <c r="U1613" s="270">
        <v>0.96</v>
      </c>
    </row>
    <row r="1614" spans="2:21" ht="17.399999999999999" thickTop="1" thickBot="1">
      <c r="B1614" s="216">
        <v>160.79999999999899</v>
      </c>
      <c r="T1614" s="270">
        <v>12.16</v>
      </c>
      <c r="U1614" s="270">
        <v>0.96</v>
      </c>
    </row>
    <row r="1615" spans="2:21" ht="17.399999999999999" thickTop="1" thickBot="1">
      <c r="B1615" s="103">
        <v>160.89999999999901</v>
      </c>
      <c r="T1615" s="270">
        <v>12.18</v>
      </c>
      <c r="U1615" s="270">
        <v>0.96</v>
      </c>
    </row>
    <row r="1616" spans="2:21" ht="17.399999999999999" thickTop="1" thickBot="1">
      <c r="B1616" s="216">
        <v>160.99999999999901</v>
      </c>
      <c r="T1616" s="270">
        <v>12.2</v>
      </c>
      <c r="U1616" s="270">
        <v>0.96</v>
      </c>
    </row>
    <row r="1617" spans="2:21" ht="17.399999999999999" thickTop="1" thickBot="1">
      <c r="B1617" s="103">
        <v>161.099999999999</v>
      </c>
      <c r="T1617" s="270">
        <v>12.21</v>
      </c>
      <c r="U1617" s="270">
        <v>0.96</v>
      </c>
    </row>
    <row r="1618" spans="2:21" ht="17.399999999999999" thickTop="1" thickBot="1">
      <c r="B1618" s="216">
        <v>161.19999999999899</v>
      </c>
      <c r="T1618" s="270">
        <v>12.23</v>
      </c>
      <c r="U1618" s="270">
        <v>0.96</v>
      </c>
    </row>
    <row r="1619" spans="2:21" ht="17.399999999999999" thickTop="1" thickBot="1">
      <c r="B1619" s="103">
        <v>161.29999999999899</v>
      </c>
      <c r="T1619" s="270">
        <v>12.24</v>
      </c>
      <c r="U1619" s="270">
        <v>0.96</v>
      </c>
    </row>
    <row r="1620" spans="2:21" ht="17.399999999999999" thickTop="1" thickBot="1">
      <c r="B1620" s="216">
        <v>161.39999999999901</v>
      </c>
      <c r="T1620" s="270">
        <v>12.26</v>
      </c>
      <c r="U1620" s="270">
        <v>0.96</v>
      </c>
    </row>
    <row r="1621" spans="2:21" ht="17.399999999999999" thickTop="1" thickBot="1">
      <c r="B1621" s="103">
        <v>161.49999999999901</v>
      </c>
      <c r="T1621" s="270">
        <v>12.27</v>
      </c>
      <c r="U1621" s="270">
        <v>0.97</v>
      </c>
    </row>
    <row r="1622" spans="2:21" ht="17.399999999999999" thickTop="1" thickBot="1">
      <c r="B1622" s="216">
        <v>161.599999999999</v>
      </c>
      <c r="T1622" s="270">
        <v>12.29</v>
      </c>
      <c r="U1622" s="270">
        <v>0.97</v>
      </c>
    </row>
    <row r="1623" spans="2:21" ht="17.399999999999999" thickTop="1" thickBot="1">
      <c r="B1623" s="103">
        <v>161.69999999999899</v>
      </c>
      <c r="T1623" s="270">
        <v>12.3</v>
      </c>
      <c r="U1623" s="270">
        <v>0.97</v>
      </c>
    </row>
    <row r="1624" spans="2:21" ht="17.399999999999999" thickTop="1" thickBot="1">
      <c r="B1624" s="216">
        <v>161.79999999999899</v>
      </c>
      <c r="T1624" s="270">
        <v>12.32</v>
      </c>
      <c r="U1624" s="270">
        <v>0.97</v>
      </c>
    </row>
    <row r="1625" spans="2:21" ht="17.399999999999999" thickTop="1" thickBot="1">
      <c r="B1625" s="103">
        <v>161.89999999999901</v>
      </c>
      <c r="T1625" s="270">
        <v>12.33</v>
      </c>
      <c r="U1625" s="270">
        <v>0.97</v>
      </c>
    </row>
    <row r="1626" spans="2:21" ht="17.399999999999999" thickTop="1" thickBot="1">
      <c r="B1626" s="216">
        <v>161.99999999999901</v>
      </c>
      <c r="T1626" s="270">
        <v>12.35</v>
      </c>
      <c r="U1626" s="270">
        <v>0.97</v>
      </c>
    </row>
    <row r="1627" spans="2:21" ht="17.399999999999999" thickTop="1" thickBot="1">
      <c r="B1627" s="103">
        <v>162.099999999999</v>
      </c>
      <c r="T1627" s="270">
        <v>12.36</v>
      </c>
      <c r="U1627" s="270">
        <v>0.97</v>
      </c>
    </row>
    <row r="1628" spans="2:21" ht="17.399999999999999" thickTop="1" thickBot="1">
      <c r="B1628" s="216">
        <v>162.19999999999899</v>
      </c>
      <c r="T1628" s="270">
        <v>12.38</v>
      </c>
      <c r="U1628" s="270">
        <v>0.97</v>
      </c>
    </row>
    <row r="1629" spans="2:21" ht="17.399999999999999" thickTop="1" thickBot="1">
      <c r="B1629" s="103">
        <v>162.29999999999899</v>
      </c>
      <c r="T1629" s="270">
        <v>12.39</v>
      </c>
      <c r="U1629" s="270">
        <v>0.97</v>
      </c>
    </row>
    <row r="1630" spans="2:21" ht="17.399999999999999" thickTop="1" thickBot="1">
      <c r="B1630" s="216">
        <v>162.39999999999901</v>
      </c>
      <c r="T1630" s="270">
        <v>12.41</v>
      </c>
      <c r="U1630" s="270">
        <v>0.98</v>
      </c>
    </row>
    <row r="1631" spans="2:21" ht="17.399999999999999" thickTop="1" thickBot="1">
      <c r="B1631" s="103">
        <v>162.49999999999901</v>
      </c>
      <c r="T1631" s="270">
        <v>12.42</v>
      </c>
      <c r="U1631" s="270">
        <v>0.98</v>
      </c>
    </row>
    <row r="1632" spans="2:21" ht="17.399999999999999" thickTop="1" thickBot="1">
      <c r="B1632" s="216">
        <v>162.599999999999</v>
      </c>
      <c r="T1632" s="270">
        <v>12.44</v>
      </c>
      <c r="U1632" s="270">
        <v>0.98</v>
      </c>
    </row>
    <row r="1633" spans="2:21" ht="17.399999999999999" thickTop="1" thickBot="1">
      <c r="B1633" s="103">
        <v>162.69999999999899</v>
      </c>
      <c r="T1633" s="270">
        <v>12.45</v>
      </c>
      <c r="U1633" s="270">
        <v>0.98</v>
      </c>
    </row>
    <row r="1634" spans="2:21" ht="17.399999999999999" thickTop="1" thickBot="1">
      <c r="B1634" s="216">
        <v>162.79999999999899</v>
      </c>
      <c r="T1634" s="270">
        <v>12.47</v>
      </c>
      <c r="U1634" s="270">
        <v>0.98</v>
      </c>
    </row>
    <row r="1635" spans="2:21" ht="17.399999999999999" thickTop="1" thickBot="1">
      <c r="B1635" s="103">
        <v>162.89999999999901</v>
      </c>
      <c r="T1635" s="270">
        <v>12.48</v>
      </c>
      <c r="U1635" s="270">
        <v>0.98</v>
      </c>
    </row>
    <row r="1636" spans="2:21" ht="17.399999999999999" thickTop="1" thickBot="1">
      <c r="B1636" s="216">
        <v>162.99999999999901</v>
      </c>
      <c r="T1636" s="270">
        <v>12.5</v>
      </c>
      <c r="U1636" s="270">
        <v>0.98</v>
      </c>
    </row>
    <row r="1637" spans="2:21" ht="17.399999999999999" thickTop="1" thickBot="1">
      <c r="B1637" s="103">
        <v>163.099999999999</v>
      </c>
      <c r="T1637" s="270">
        <v>12.52</v>
      </c>
      <c r="U1637" s="270">
        <v>0.98</v>
      </c>
    </row>
    <row r="1638" spans="2:21" ht="17.399999999999999" thickTop="1" thickBot="1">
      <c r="B1638" s="216">
        <v>163.19999999999899</v>
      </c>
      <c r="T1638" s="270">
        <v>12.53</v>
      </c>
      <c r="U1638" s="270">
        <v>0.99</v>
      </c>
    </row>
    <row r="1639" spans="2:21" ht="17.399999999999999" thickTop="1" thickBot="1">
      <c r="B1639" s="103">
        <v>163.29999999999899</v>
      </c>
      <c r="T1639" s="270">
        <v>12.55</v>
      </c>
      <c r="U1639" s="270">
        <v>0.99</v>
      </c>
    </row>
    <row r="1640" spans="2:21" ht="17.399999999999999" thickTop="1" thickBot="1">
      <c r="B1640" s="216">
        <v>163.39999999999901</v>
      </c>
      <c r="T1640" s="270">
        <v>12.56</v>
      </c>
      <c r="U1640" s="270">
        <v>0.99</v>
      </c>
    </row>
    <row r="1641" spans="2:21" ht="17.399999999999999" thickTop="1" thickBot="1">
      <c r="B1641" s="103">
        <v>163.49999999999901</v>
      </c>
      <c r="T1641" s="270">
        <v>12.58</v>
      </c>
      <c r="U1641" s="270">
        <v>0.99</v>
      </c>
    </row>
    <row r="1642" spans="2:21" ht="17.399999999999999" thickTop="1" thickBot="1">
      <c r="B1642" s="216">
        <v>163.599999999999</v>
      </c>
      <c r="T1642" s="270">
        <v>12.59</v>
      </c>
      <c r="U1642" s="270">
        <v>0.99</v>
      </c>
    </row>
    <row r="1643" spans="2:21" ht="17.399999999999999" thickTop="1" thickBot="1">
      <c r="B1643" s="103">
        <v>163.69999999999899</v>
      </c>
      <c r="T1643" s="270">
        <v>12.61</v>
      </c>
      <c r="U1643" s="270">
        <v>0.99</v>
      </c>
    </row>
    <row r="1644" spans="2:21" ht="17.399999999999999" thickTop="1" thickBot="1">
      <c r="B1644" s="216">
        <v>163.79999999999899</v>
      </c>
      <c r="T1644" s="270">
        <v>12.62</v>
      </c>
      <c r="U1644" s="270">
        <v>0.99</v>
      </c>
    </row>
    <row r="1645" spans="2:21" ht="17.399999999999999" thickTop="1" thickBot="1">
      <c r="B1645" s="103">
        <v>163.89999999999901</v>
      </c>
      <c r="T1645" s="270">
        <v>12.64</v>
      </c>
      <c r="U1645" s="270">
        <v>0.99</v>
      </c>
    </row>
    <row r="1646" spans="2:21" ht="17.399999999999999" thickTop="1" thickBot="1">
      <c r="B1646" s="216">
        <v>163.99999999999901</v>
      </c>
      <c r="T1646" s="270">
        <v>12.65</v>
      </c>
      <c r="U1646" s="270">
        <v>1</v>
      </c>
    </row>
    <row r="1647" spans="2:21" ht="17.399999999999999" thickTop="1" thickBot="1">
      <c r="B1647" s="103">
        <v>164.099999999999</v>
      </c>
      <c r="T1647" s="270">
        <v>12.67</v>
      </c>
      <c r="U1647" s="270">
        <v>1</v>
      </c>
    </row>
    <row r="1648" spans="2:21" ht="17.399999999999999" thickTop="1" thickBot="1">
      <c r="B1648" s="216">
        <v>164.19999999999899</v>
      </c>
      <c r="T1648" s="270">
        <v>12.68</v>
      </c>
      <c r="U1648" s="270">
        <v>1</v>
      </c>
    </row>
    <row r="1649" spans="2:21" ht="17.399999999999999" thickTop="1" thickBot="1">
      <c r="B1649" s="103">
        <v>164.29999999999899</v>
      </c>
      <c r="T1649" s="270">
        <v>12.7</v>
      </c>
      <c r="U1649" s="270">
        <v>1</v>
      </c>
    </row>
    <row r="1650" spans="2:21" ht="17.399999999999999" thickTop="1" thickBot="1">
      <c r="B1650" s="216">
        <v>164.39999999999901</v>
      </c>
      <c r="T1650" s="270">
        <v>12.72</v>
      </c>
      <c r="U1650" s="270">
        <v>1</v>
      </c>
    </row>
    <row r="1651" spans="2:21" ht="17.399999999999999" thickTop="1" thickBot="1">
      <c r="B1651" s="103">
        <v>164.49999999999901</v>
      </c>
      <c r="T1651" s="270">
        <v>12.73</v>
      </c>
      <c r="U1651" s="270">
        <v>1</v>
      </c>
    </row>
    <row r="1652" spans="2:21" ht="17.399999999999999" thickTop="1" thickBot="1">
      <c r="B1652" s="216">
        <v>164.599999999999</v>
      </c>
      <c r="T1652" s="270">
        <v>12.75</v>
      </c>
      <c r="U1652" s="270">
        <v>1</v>
      </c>
    </row>
    <row r="1653" spans="2:21" ht="17.399999999999999" thickTop="1" thickBot="1">
      <c r="B1653" s="103">
        <v>164.69999999999899</v>
      </c>
      <c r="T1653" s="270">
        <v>12.76</v>
      </c>
      <c r="U1653" s="270">
        <v>1</v>
      </c>
    </row>
    <row r="1654" spans="2:21" ht="17.399999999999999" thickTop="1" thickBot="1">
      <c r="B1654" s="216">
        <v>164.79999999999899</v>
      </c>
      <c r="T1654" s="270">
        <v>12.78</v>
      </c>
      <c r="U1654" s="270">
        <v>1</v>
      </c>
    </row>
    <row r="1655" spans="2:21" ht="17.399999999999999" thickTop="1" thickBot="1">
      <c r="B1655" s="103">
        <v>164.89999999999901</v>
      </c>
      <c r="T1655" s="270">
        <v>12.79</v>
      </c>
      <c r="U1655" s="270">
        <v>1.01</v>
      </c>
    </row>
    <row r="1656" spans="2:21" ht="17.399999999999999" thickTop="1" thickBot="1">
      <c r="B1656" s="216">
        <v>164.99999999999901</v>
      </c>
      <c r="T1656" s="270">
        <v>12.81</v>
      </c>
      <c r="U1656" s="270">
        <v>1.01</v>
      </c>
    </row>
    <row r="1657" spans="2:21" ht="17.399999999999999" thickTop="1" thickBot="1">
      <c r="B1657" s="103">
        <v>165.099999999999</v>
      </c>
      <c r="T1657" s="270">
        <v>12.82</v>
      </c>
      <c r="U1657" s="270">
        <v>1.01</v>
      </c>
    </row>
    <row r="1658" spans="2:21" ht="17.399999999999999" thickTop="1" thickBot="1">
      <c r="B1658" s="216">
        <v>165.19999999999899</v>
      </c>
      <c r="T1658" s="270">
        <v>12.84</v>
      </c>
      <c r="U1658" s="270">
        <v>1.01</v>
      </c>
    </row>
    <row r="1659" spans="2:21" ht="17.399999999999999" thickTop="1" thickBot="1">
      <c r="B1659" s="103">
        <v>165.29999999999899</v>
      </c>
      <c r="T1659" s="270">
        <v>12.86</v>
      </c>
      <c r="U1659" s="270">
        <v>1.01</v>
      </c>
    </row>
    <row r="1660" spans="2:21" ht="17.399999999999999" thickTop="1" thickBot="1">
      <c r="B1660" s="216">
        <v>165.39999999999901</v>
      </c>
      <c r="T1660" s="270">
        <v>12.87</v>
      </c>
      <c r="U1660" s="270">
        <v>1.01</v>
      </c>
    </row>
    <row r="1661" spans="2:21" ht="17.399999999999999" thickTop="1" thickBot="1">
      <c r="B1661" s="103">
        <v>165.49999999999901</v>
      </c>
      <c r="T1661" s="270">
        <v>12.89</v>
      </c>
      <c r="U1661" s="270">
        <v>1.01</v>
      </c>
    </row>
    <row r="1662" spans="2:21" ht="17.399999999999999" thickTop="1" thickBot="1">
      <c r="B1662" s="216">
        <v>165.599999999999</v>
      </c>
      <c r="T1662" s="270">
        <v>12.9</v>
      </c>
      <c r="U1662" s="270">
        <v>1.01</v>
      </c>
    </row>
    <row r="1663" spans="2:21" ht="17.399999999999999" thickTop="1" thickBot="1">
      <c r="B1663" s="103">
        <v>165.69999999999899</v>
      </c>
      <c r="T1663" s="270">
        <v>12.92</v>
      </c>
      <c r="U1663" s="270">
        <v>1.02</v>
      </c>
    </row>
    <row r="1664" spans="2:21" ht="17.399999999999999" thickTop="1" thickBot="1">
      <c r="B1664" s="216">
        <v>165.79999999999899</v>
      </c>
      <c r="T1664" s="270">
        <v>12.93</v>
      </c>
      <c r="U1664" s="270">
        <v>1.02</v>
      </c>
    </row>
    <row r="1665" spans="2:21" ht="17.399999999999999" thickTop="1" thickBot="1">
      <c r="B1665" s="103">
        <v>165.89999999999901</v>
      </c>
      <c r="T1665" s="270">
        <v>12.95</v>
      </c>
      <c r="U1665" s="270">
        <v>1.02</v>
      </c>
    </row>
    <row r="1666" spans="2:21" ht="17.399999999999999" thickTop="1" thickBot="1">
      <c r="B1666" s="216">
        <v>165.99999999999901</v>
      </c>
      <c r="T1666" s="270">
        <v>12.96</v>
      </c>
      <c r="U1666" s="270">
        <v>1.02</v>
      </c>
    </row>
    <row r="1667" spans="2:21" ht="17.399999999999999" thickTop="1" thickBot="1">
      <c r="B1667" s="103">
        <v>166.099999999999</v>
      </c>
      <c r="T1667" s="270">
        <v>12.98</v>
      </c>
      <c r="U1667" s="270">
        <v>1.02</v>
      </c>
    </row>
    <row r="1668" spans="2:21" ht="17.399999999999999" thickTop="1" thickBot="1">
      <c r="B1668" s="216">
        <v>166.19999999999899</v>
      </c>
      <c r="T1668" s="270">
        <v>13</v>
      </c>
      <c r="U1668" s="270">
        <v>1.02</v>
      </c>
    </row>
    <row r="1669" spans="2:21" ht="17.399999999999999" thickTop="1" thickBot="1">
      <c r="B1669" s="103">
        <v>166.29999999999899</v>
      </c>
      <c r="T1669" s="270">
        <v>13.01</v>
      </c>
      <c r="U1669" s="270">
        <v>1.02</v>
      </c>
    </row>
    <row r="1670" spans="2:21" ht="17.399999999999999" thickTop="1" thickBot="1">
      <c r="B1670" s="216">
        <v>166.39999999999901</v>
      </c>
      <c r="T1670" s="270">
        <v>13.03</v>
      </c>
      <c r="U1670" s="270">
        <v>1.02</v>
      </c>
    </row>
    <row r="1671" spans="2:21" ht="17.399999999999999" thickTop="1" thickBot="1">
      <c r="B1671" s="103">
        <v>166.49999999999901</v>
      </c>
      <c r="T1671" s="270">
        <v>13.04</v>
      </c>
      <c r="U1671" s="270">
        <v>1.03</v>
      </c>
    </row>
    <row r="1672" spans="2:21" ht="17.399999999999999" thickTop="1" thickBot="1">
      <c r="B1672" s="216">
        <v>166.599999999999</v>
      </c>
      <c r="T1672" s="270">
        <v>13.06</v>
      </c>
      <c r="U1672" s="270">
        <v>1.03</v>
      </c>
    </row>
    <row r="1673" spans="2:21" ht="17.399999999999999" thickTop="1" thickBot="1">
      <c r="B1673" s="103">
        <v>166.69999999999899</v>
      </c>
      <c r="T1673" s="270">
        <v>13.07</v>
      </c>
      <c r="U1673" s="270">
        <v>1.03</v>
      </c>
    </row>
    <row r="1674" spans="2:21" ht="17.399999999999999" thickTop="1" thickBot="1">
      <c r="B1674" s="216">
        <v>166.79999999999899</v>
      </c>
      <c r="T1674" s="270">
        <v>13.09</v>
      </c>
      <c r="U1674" s="270">
        <v>1.03</v>
      </c>
    </row>
    <row r="1675" spans="2:21" ht="17.399999999999999" thickTop="1" thickBot="1">
      <c r="B1675" s="103">
        <v>166.89999999999901</v>
      </c>
      <c r="T1675" s="270">
        <v>13.11</v>
      </c>
      <c r="U1675" s="270">
        <v>1.03</v>
      </c>
    </row>
    <row r="1676" spans="2:21" ht="17.399999999999999" thickTop="1" thickBot="1">
      <c r="B1676" s="216">
        <v>166.99999999999901</v>
      </c>
      <c r="T1676" s="270">
        <v>13.12</v>
      </c>
      <c r="U1676" s="270">
        <v>1.03</v>
      </c>
    </row>
    <row r="1677" spans="2:21" ht="17.399999999999999" thickTop="1" thickBot="1">
      <c r="B1677" s="103">
        <v>167.099999999999</v>
      </c>
      <c r="T1677" s="270">
        <v>13.14</v>
      </c>
      <c r="U1677" s="270">
        <v>1.03</v>
      </c>
    </row>
    <row r="1678" spans="2:21" ht="17.399999999999999" thickTop="1" thickBot="1">
      <c r="B1678" s="216">
        <v>167.19999999999899</v>
      </c>
      <c r="T1678" s="270">
        <v>13.15</v>
      </c>
      <c r="U1678" s="270">
        <v>1.03</v>
      </c>
    </row>
    <row r="1679" spans="2:21" ht="17.399999999999999" thickTop="1" thickBot="1">
      <c r="B1679" s="103">
        <v>167.29999999999899</v>
      </c>
      <c r="T1679" s="270">
        <v>13.17</v>
      </c>
      <c r="U1679" s="270">
        <v>1.04</v>
      </c>
    </row>
    <row r="1680" spans="2:21" ht="17.399999999999999" thickTop="1" thickBot="1">
      <c r="B1680" s="216">
        <v>167.39999999999901</v>
      </c>
      <c r="T1680" s="270">
        <v>13.18</v>
      </c>
      <c r="U1680" s="270">
        <v>1.04</v>
      </c>
    </row>
    <row r="1681" spans="2:21" ht="17.399999999999999" thickTop="1" thickBot="1">
      <c r="B1681" s="103">
        <v>167.49999999999901</v>
      </c>
      <c r="T1681" s="270">
        <v>13.2</v>
      </c>
      <c r="U1681" s="270">
        <v>1.04</v>
      </c>
    </row>
    <row r="1682" spans="2:21" ht="17.399999999999999" thickTop="1" thickBot="1">
      <c r="B1682" s="216">
        <v>167.599999999999</v>
      </c>
      <c r="T1682" s="270">
        <v>13.22</v>
      </c>
      <c r="U1682" s="270">
        <v>1.04</v>
      </c>
    </row>
    <row r="1683" spans="2:21" ht="17.399999999999999" thickTop="1" thickBot="1">
      <c r="B1683" s="103">
        <v>167.69999999999899</v>
      </c>
      <c r="T1683" s="270">
        <v>13.23</v>
      </c>
      <c r="U1683" s="270">
        <v>1.04</v>
      </c>
    </row>
    <row r="1684" spans="2:21" ht="17.399999999999999" thickTop="1" thickBot="1">
      <c r="B1684" s="216">
        <v>167.79999999999899</v>
      </c>
      <c r="T1684" s="270">
        <v>13.25</v>
      </c>
      <c r="U1684" s="270">
        <v>1.04</v>
      </c>
    </row>
    <row r="1685" spans="2:21" ht="17.399999999999999" thickTop="1" thickBot="1">
      <c r="B1685" s="103">
        <v>167.89999999999901</v>
      </c>
      <c r="T1685" s="270">
        <v>13.26</v>
      </c>
      <c r="U1685" s="270">
        <v>1.04</v>
      </c>
    </row>
    <row r="1686" spans="2:21" ht="17.399999999999999" thickTop="1" thickBot="1">
      <c r="B1686" s="216">
        <v>167.99999999999901</v>
      </c>
      <c r="T1686" s="270">
        <v>13.28</v>
      </c>
      <c r="U1686" s="270">
        <v>1.04</v>
      </c>
    </row>
    <row r="1687" spans="2:21" ht="17.399999999999999" thickTop="1" thickBot="1">
      <c r="B1687" s="103">
        <v>168.099999999999</v>
      </c>
      <c r="T1687" s="270">
        <v>13.29</v>
      </c>
      <c r="U1687" s="270">
        <v>1.05</v>
      </c>
    </row>
    <row r="1688" spans="2:21" ht="17.399999999999999" thickTop="1" thickBot="1">
      <c r="B1688" s="216">
        <v>168.19999999999899</v>
      </c>
      <c r="T1688" s="270">
        <v>13.31</v>
      </c>
      <c r="U1688" s="270">
        <v>1.05</v>
      </c>
    </row>
    <row r="1689" spans="2:21" ht="17.399999999999999" thickTop="1" thickBot="1">
      <c r="B1689" s="103">
        <v>168.29999999999899</v>
      </c>
      <c r="T1689" s="270">
        <v>13.33</v>
      </c>
      <c r="U1689" s="270">
        <v>1.05</v>
      </c>
    </row>
    <row r="1690" spans="2:21" ht="17.399999999999999" thickTop="1" thickBot="1">
      <c r="B1690" s="216">
        <v>168.39999999999901</v>
      </c>
      <c r="T1690" s="270">
        <v>13.34</v>
      </c>
      <c r="U1690" s="270">
        <v>1.05</v>
      </c>
    </row>
    <row r="1691" spans="2:21" ht="17.399999999999999" thickTop="1" thickBot="1">
      <c r="B1691" s="103">
        <v>168.49999999999901</v>
      </c>
      <c r="T1691" s="270">
        <v>13.36</v>
      </c>
      <c r="U1691" s="270">
        <v>1.05</v>
      </c>
    </row>
    <row r="1692" spans="2:21" ht="17.399999999999999" thickTop="1" thickBot="1">
      <c r="B1692" s="216">
        <v>168.599999999999</v>
      </c>
      <c r="T1692" s="270">
        <v>13.37</v>
      </c>
      <c r="U1692" s="270">
        <v>1.05</v>
      </c>
    </row>
    <row r="1693" spans="2:21" ht="17.399999999999999" thickTop="1" thickBot="1">
      <c r="B1693" s="103">
        <v>168.69999999999899</v>
      </c>
      <c r="T1693" s="270">
        <v>13.39</v>
      </c>
      <c r="U1693" s="270">
        <v>1.05</v>
      </c>
    </row>
    <row r="1694" spans="2:21" ht="17.399999999999999" thickTop="1" thickBot="1">
      <c r="B1694" s="216">
        <v>168.79999999999899</v>
      </c>
      <c r="T1694" s="270">
        <v>13.41</v>
      </c>
      <c r="U1694" s="270">
        <v>1.05</v>
      </c>
    </row>
    <row r="1695" spans="2:21" ht="17.399999999999999" thickTop="1" thickBot="1">
      <c r="B1695" s="103">
        <v>168.89999999999901</v>
      </c>
      <c r="T1695" s="270">
        <v>13.42</v>
      </c>
      <c r="U1695" s="270">
        <v>1.06</v>
      </c>
    </row>
    <row r="1696" spans="2:21" ht="17.399999999999999" thickTop="1" thickBot="1">
      <c r="B1696" s="216">
        <v>168.99999999999901</v>
      </c>
      <c r="T1696" s="270">
        <v>13.44</v>
      </c>
      <c r="U1696" s="270">
        <v>1.06</v>
      </c>
    </row>
    <row r="1697" spans="2:21" ht="17.399999999999999" thickTop="1" thickBot="1">
      <c r="B1697" s="103">
        <v>169.099999999999</v>
      </c>
      <c r="T1697" s="270">
        <v>13.45</v>
      </c>
      <c r="U1697" s="270">
        <v>1.06</v>
      </c>
    </row>
    <row r="1698" spans="2:21" ht="17.399999999999999" thickTop="1" thickBot="1">
      <c r="B1698" s="216">
        <v>169.19999999999899</v>
      </c>
      <c r="T1698" s="270">
        <v>13.47</v>
      </c>
      <c r="U1698" s="270">
        <v>1.06</v>
      </c>
    </row>
    <row r="1699" spans="2:21" ht="17.399999999999999" thickTop="1" thickBot="1">
      <c r="B1699" s="103">
        <v>169.29999999999899</v>
      </c>
      <c r="T1699" s="270">
        <v>13.48</v>
      </c>
      <c r="U1699" s="270">
        <v>1.06</v>
      </c>
    </row>
    <row r="1700" spans="2:21" ht="17.399999999999999" thickTop="1" thickBot="1">
      <c r="B1700" s="216">
        <v>169.39999999999901</v>
      </c>
      <c r="T1700" s="270">
        <v>13.5</v>
      </c>
      <c r="U1700" s="270">
        <v>1.06</v>
      </c>
    </row>
    <row r="1701" spans="2:21" ht="17.399999999999999" thickTop="1" thickBot="1">
      <c r="B1701" s="103">
        <v>169.49999999999901</v>
      </c>
      <c r="T1701" s="270">
        <v>13.52</v>
      </c>
      <c r="U1701" s="270">
        <v>1.06</v>
      </c>
    </row>
    <row r="1702" spans="2:21" ht="17.399999999999999" thickTop="1" thickBot="1">
      <c r="B1702" s="216">
        <v>169.599999999999</v>
      </c>
      <c r="T1702" s="270">
        <v>13.53</v>
      </c>
      <c r="U1702" s="270">
        <v>1.06</v>
      </c>
    </row>
    <row r="1703" spans="2:21" ht="17.399999999999999" thickTop="1" thickBot="1">
      <c r="B1703" s="103">
        <v>169.69999999999899</v>
      </c>
      <c r="T1703" s="270">
        <v>13.55</v>
      </c>
      <c r="U1703" s="270">
        <v>1.07</v>
      </c>
    </row>
    <row r="1704" spans="2:21" ht="17.399999999999999" thickTop="1" thickBot="1">
      <c r="B1704" s="216">
        <v>169.79999999999899</v>
      </c>
      <c r="T1704" s="270">
        <v>13.56</v>
      </c>
      <c r="U1704" s="270">
        <v>1.07</v>
      </c>
    </row>
    <row r="1705" spans="2:21" ht="17.399999999999999" thickTop="1" thickBot="1">
      <c r="B1705" s="103">
        <v>169.89999999999901</v>
      </c>
      <c r="T1705" s="270">
        <v>13.58</v>
      </c>
      <c r="U1705" s="270">
        <v>1.07</v>
      </c>
    </row>
    <row r="1706" spans="2:21" ht="17.399999999999999" thickTop="1" thickBot="1">
      <c r="B1706" s="216">
        <v>169.99999999999901</v>
      </c>
      <c r="T1706" s="270">
        <v>13.6</v>
      </c>
      <c r="U1706" s="270">
        <v>1.07</v>
      </c>
    </row>
    <row r="1707" spans="2:21" ht="17.399999999999999" thickTop="1" thickBot="1">
      <c r="B1707" s="103">
        <v>170.099999999999</v>
      </c>
      <c r="T1707" s="270">
        <v>13.61</v>
      </c>
      <c r="U1707" s="270">
        <v>1.07</v>
      </c>
    </row>
    <row r="1708" spans="2:21" ht="17.399999999999999" thickTop="1" thickBot="1">
      <c r="B1708" s="216">
        <v>170.19999999999899</v>
      </c>
      <c r="T1708" s="270">
        <v>13.63</v>
      </c>
      <c r="U1708" s="270">
        <v>1.07</v>
      </c>
    </row>
    <row r="1709" spans="2:21" ht="17.399999999999999" thickTop="1" thickBot="1">
      <c r="B1709" s="103">
        <v>170.29999999999899</v>
      </c>
      <c r="T1709" s="270">
        <v>13.64</v>
      </c>
      <c r="U1709" s="270">
        <v>1.07</v>
      </c>
    </row>
    <row r="1710" spans="2:21" ht="17.399999999999999" thickTop="1" thickBot="1">
      <c r="B1710" s="216">
        <v>170.39999999999901</v>
      </c>
      <c r="T1710" s="270">
        <v>13.66</v>
      </c>
      <c r="U1710" s="270">
        <v>1.07</v>
      </c>
    </row>
    <row r="1711" spans="2:21" ht="17.399999999999999" thickTop="1" thickBot="1">
      <c r="B1711" s="103">
        <v>170.49999999999901</v>
      </c>
      <c r="T1711" s="270">
        <v>13.68</v>
      </c>
      <c r="U1711" s="270">
        <v>1.08</v>
      </c>
    </row>
    <row r="1712" spans="2:21" ht="17.399999999999999" thickTop="1" thickBot="1">
      <c r="B1712" s="216">
        <v>170.599999999999</v>
      </c>
      <c r="T1712" s="270">
        <v>13.69</v>
      </c>
      <c r="U1712" s="270">
        <v>1.08</v>
      </c>
    </row>
    <row r="1713" spans="2:21" ht="17.399999999999999" thickTop="1" thickBot="1">
      <c r="B1713" s="103">
        <v>170.69999999999899</v>
      </c>
      <c r="T1713" s="270">
        <v>13.71</v>
      </c>
      <c r="U1713" s="270">
        <v>1.08</v>
      </c>
    </row>
    <row r="1714" spans="2:21" ht="17.399999999999999" thickTop="1" thickBot="1">
      <c r="B1714" s="216">
        <v>170.79999999999899</v>
      </c>
      <c r="T1714" s="270">
        <v>13.72</v>
      </c>
      <c r="U1714" s="270">
        <v>1.08</v>
      </c>
    </row>
    <row r="1715" spans="2:21" ht="17.399999999999999" thickTop="1" thickBot="1">
      <c r="B1715" s="103">
        <v>170.89999999999901</v>
      </c>
      <c r="T1715" s="270">
        <v>13.74</v>
      </c>
      <c r="U1715" s="270">
        <v>1.08</v>
      </c>
    </row>
    <row r="1716" spans="2:21" ht="17.399999999999999" thickTop="1" thickBot="1">
      <c r="B1716" s="216">
        <v>170.99999999999901</v>
      </c>
      <c r="T1716" s="270">
        <v>13.76</v>
      </c>
      <c r="U1716" s="270">
        <v>1.08</v>
      </c>
    </row>
    <row r="1717" spans="2:21" ht="17.399999999999999" thickTop="1" thickBot="1">
      <c r="B1717" s="103">
        <v>171.099999999999</v>
      </c>
      <c r="T1717" s="270">
        <v>13.77</v>
      </c>
      <c r="U1717" s="270">
        <v>1.08</v>
      </c>
    </row>
    <row r="1718" spans="2:21" ht="17.399999999999999" thickTop="1" thickBot="1">
      <c r="B1718" s="216">
        <v>171.19999999999899</v>
      </c>
      <c r="T1718" s="270">
        <v>13.79</v>
      </c>
      <c r="U1718" s="270">
        <v>1.08</v>
      </c>
    </row>
    <row r="1719" spans="2:21" ht="17.399999999999999" thickTop="1" thickBot="1">
      <c r="B1719" s="103">
        <v>171.29999999999899</v>
      </c>
      <c r="T1719" s="270">
        <v>13.81</v>
      </c>
      <c r="U1719" s="270">
        <v>1.0900000000000001</v>
      </c>
    </row>
    <row r="1720" spans="2:21" ht="17.399999999999999" thickTop="1" thickBot="1">
      <c r="B1720" s="216">
        <v>171.39999999999901</v>
      </c>
      <c r="T1720" s="270">
        <v>13.82</v>
      </c>
      <c r="U1720" s="270">
        <v>1.0900000000000001</v>
      </c>
    </row>
    <row r="1721" spans="2:21" ht="17.399999999999999" thickTop="1" thickBot="1">
      <c r="B1721" s="103">
        <v>171.49999999999901</v>
      </c>
      <c r="T1721" s="270">
        <v>13.84</v>
      </c>
      <c r="U1721" s="270">
        <v>1.0900000000000001</v>
      </c>
    </row>
    <row r="1722" spans="2:21" ht="17.399999999999999" thickTop="1" thickBot="1">
      <c r="B1722" s="216">
        <v>171.599999999999</v>
      </c>
      <c r="T1722" s="270">
        <v>13.85</v>
      </c>
      <c r="U1722" s="270">
        <v>1.0900000000000001</v>
      </c>
    </row>
    <row r="1723" spans="2:21" ht="17.399999999999999" thickTop="1" thickBot="1">
      <c r="B1723" s="103">
        <v>171.69999999999899</v>
      </c>
      <c r="T1723" s="270">
        <v>13.87</v>
      </c>
      <c r="U1723" s="270">
        <v>1.0900000000000001</v>
      </c>
    </row>
    <row r="1724" spans="2:21" ht="17.399999999999999" thickTop="1" thickBot="1">
      <c r="B1724" s="216">
        <v>171.79999999999899</v>
      </c>
      <c r="T1724" s="270">
        <v>13.89</v>
      </c>
      <c r="U1724" s="270">
        <v>1.0900000000000001</v>
      </c>
    </row>
    <row r="1725" spans="2:21" ht="17.399999999999999" thickTop="1" thickBot="1">
      <c r="B1725" s="103">
        <v>171.89999999999901</v>
      </c>
      <c r="T1725" s="270">
        <v>13.9</v>
      </c>
      <c r="U1725" s="270">
        <v>1.0900000000000001</v>
      </c>
    </row>
    <row r="1726" spans="2:21" ht="17.399999999999999" thickTop="1" thickBot="1">
      <c r="B1726" s="216">
        <v>171.99999999999901</v>
      </c>
      <c r="T1726" s="270">
        <v>13.92</v>
      </c>
      <c r="U1726" s="270">
        <v>1.0900000000000001</v>
      </c>
    </row>
    <row r="1727" spans="2:21" ht="17.399999999999999" thickTop="1" thickBot="1">
      <c r="B1727" s="103">
        <v>172.099999999999</v>
      </c>
      <c r="T1727" s="270">
        <v>13.93</v>
      </c>
      <c r="U1727" s="270">
        <v>1.1000000000000001</v>
      </c>
    </row>
    <row r="1728" spans="2:21" ht="17.399999999999999" thickTop="1" thickBot="1">
      <c r="B1728" s="216">
        <v>172.19999999999899</v>
      </c>
      <c r="T1728" s="270">
        <v>13.95</v>
      </c>
      <c r="U1728" s="270">
        <v>1.1000000000000001</v>
      </c>
    </row>
    <row r="1729" spans="2:21" ht="17.399999999999999" thickTop="1" thickBot="1">
      <c r="B1729" s="103">
        <v>172.29999999999899</v>
      </c>
      <c r="T1729" s="270">
        <v>13.97</v>
      </c>
      <c r="U1729" s="270">
        <v>1.1000000000000001</v>
      </c>
    </row>
    <row r="1730" spans="2:21" ht="17.399999999999999" thickTop="1" thickBot="1">
      <c r="B1730" s="216">
        <v>172.39999999999901</v>
      </c>
      <c r="T1730" s="270">
        <v>13.98</v>
      </c>
      <c r="U1730" s="270">
        <v>1.1000000000000001</v>
      </c>
    </row>
    <row r="1731" spans="2:21" ht="17.399999999999999" thickTop="1" thickBot="1">
      <c r="B1731" s="103">
        <v>172.49999999999901</v>
      </c>
      <c r="T1731" s="270">
        <v>14</v>
      </c>
      <c r="U1731" s="270">
        <v>1.1000000000000001</v>
      </c>
    </row>
    <row r="1732" spans="2:21" ht="17.399999999999999" thickTop="1" thickBot="1">
      <c r="B1732" s="216">
        <v>172.599999999999</v>
      </c>
      <c r="T1732" s="270">
        <v>14.02</v>
      </c>
      <c r="U1732" s="270">
        <v>1.1000000000000001</v>
      </c>
    </row>
    <row r="1733" spans="2:21" ht="17.399999999999999" thickTop="1" thickBot="1">
      <c r="B1733" s="103">
        <v>172.69999999999899</v>
      </c>
      <c r="T1733" s="270">
        <v>14.03</v>
      </c>
      <c r="U1733" s="270">
        <v>1.1000000000000001</v>
      </c>
    </row>
    <row r="1734" spans="2:21" ht="17.399999999999999" thickTop="1" thickBot="1">
      <c r="B1734" s="216">
        <v>172.79999999999899</v>
      </c>
      <c r="T1734" s="270">
        <v>14.05</v>
      </c>
      <c r="U1734" s="270">
        <v>1.1000000000000001</v>
      </c>
    </row>
    <row r="1735" spans="2:21" ht="17.399999999999999" thickTop="1" thickBot="1">
      <c r="B1735" s="103">
        <v>172.89999999999901</v>
      </c>
      <c r="T1735" s="270">
        <v>14.06</v>
      </c>
      <c r="U1735" s="270">
        <v>1.1100000000000001</v>
      </c>
    </row>
    <row r="1736" spans="2:21" ht="17.399999999999999" thickTop="1" thickBot="1">
      <c r="B1736" s="216">
        <v>172.99999999999901</v>
      </c>
      <c r="T1736" s="270">
        <v>14.08</v>
      </c>
      <c r="U1736" s="270">
        <v>1.1100000000000001</v>
      </c>
    </row>
    <row r="1737" spans="2:21" ht="17.399999999999999" thickTop="1" thickBot="1">
      <c r="B1737" s="103">
        <v>173.099999999999</v>
      </c>
      <c r="T1737" s="270">
        <v>14.1</v>
      </c>
      <c r="U1737" s="270">
        <v>1.1100000000000001</v>
      </c>
    </row>
    <row r="1738" spans="2:21" ht="17.399999999999999" thickTop="1" thickBot="1">
      <c r="B1738" s="216">
        <v>173.19999999999899</v>
      </c>
      <c r="T1738" s="270">
        <v>14.11</v>
      </c>
      <c r="U1738" s="270">
        <v>1.1100000000000001</v>
      </c>
    </row>
    <row r="1739" spans="2:21" ht="17.399999999999999" thickTop="1" thickBot="1">
      <c r="B1739" s="103">
        <v>173.29999999999899</v>
      </c>
      <c r="T1739" s="270">
        <v>14.13</v>
      </c>
      <c r="U1739" s="270">
        <v>1.1100000000000001</v>
      </c>
    </row>
    <row r="1740" spans="2:21" ht="17.399999999999999" thickTop="1" thickBot="1">
      <c r="B1740" s="216">
        <v>173.39999999999901</v>
      </c>
      <c r="T1740" s="270">
        <v>14.15</v>
      </c>
      <c r="U1740" s="270">
        <v>1.1100000000000001</v>
      </c>
    </row>
    <row r="1741" spans="2:21" ht="17.399999999999999" thickTop="1" thickBot="1">
      <c r="B1741" s="103">
        <v>173.49999999999901</v>
      </c>
      <c r="T1741" s="270">
        <v>14.16</v>
      </c>
      <c r="U1741" s="270">
        <v>1.1100000000000001</v>
      </c>
    </row>
    <row r="1742" spans="2:21" ht="17.399999999999999" thickTop="1" thickBot="1">
      <c r="B1742" s="216">
        <v>173.599999999999</v>
      </c>
      <c r="T1742" s="270">
        <v>14.18</v>
      </c>
      <c r="U1742" s="270">
        <v>1.1200000000000001</v>
      </c>
    </row>
    <row r="1743" spans="2:21" ht="17.399999999999999" thickTop="1" thickBot="1">
      <c r="B1743" s="103">
        <v>173.69999999999899</v>
      </c>
      <c r="T1743" s="270">
        <v>14.19</v>
      </c>
      <c r="U1743" s="270">
        <v>1.1200000000000001</v>
      </c>
    </row>
    <row r="1744" spans="2:21" ht="17.399999999999999" thickTop="1" thickBot="1">
      <c r="B1744" s="216">
        <v>173.79999999999899</v>
      </c>
      <c r="T1744" s="270">
        <v>14.21</v>
      </c>
      <c r="U1744" s="270">
        <v>1.1200000000000001</v>
      </c>
    </row>
    <row r="1745" spans="2:21" ht="17.399999999999999" thickTop="1" thickBot="1">
      <c r="B1745" s="103">
        <v>173.89999999999901</v>
      </c>
      <c r="T1745" s="270">
        <v>14.23</v>
      </c>
      <c r="U1745" s="270">
        <v>1.1200000000000001</v>
      </c>
    </row>
    <row r="1746" spans="2:21" ht="17.399999999999999" thickTop="1" thickBot="1">
      <c r="B1746" s="216">
        <v>173.99999999999901</v>
      </c>
      <c r="T1746" s="270">
        <v>14.24</v>
      </c>
      <c r="U1746" s="270">
        <v>1.1200000000000001</v>
      </c>
    </row>
    <row r="1747" spans="2:21" ht="17.399999999999999" thickTop="1" thickBot="1">
      <c r="B1747" s="103">
        <v>174.099999999999</v>
      </c>
      <c r="T1747" s="270">
        <v>14.26</v>
      </c>
      <c r="U1747" s="270">
        <v>1.1200000000000001</v>
      </c>
    </row>
    <row r="1748" spans="2:21" ht="17.399999999999999" thickTop="1" thickBot="1">
      <c r="B1748" s="216">
        <v>174.19999999999899</v>
      </c>
      <c r="T1748" s="270">
        <v>14.28</v>
      </c>
      <c r="U1748" s="270">
        <v>1.1200000000000001</v>
      </c>
    </row>
    <row r="1749" spans="2:21" ht="17.399999999999999" thickTop="1" thickBot="1">
      <c r="B1749" s="103">
        <v>174.29999999999899</v>
      </c>
      <c r="T1749" s="270">
        <v>14.29</v>
      </c>
      <c r="U1749" s="270">
        <v>1.1200000000000001</v>
      </c>
    </row>
    <row r="1750" spans="2:21" ht="17.399999999999999" thickTop="1" thickBot="1">
      <c r="B1750" s="216">
        <v>174.39999999999901</v>
      </c>
      <c r="T1750" s="270">
        <v>14.31</v>
      </c>
      <c r="U1750" s="270">
        <v>1.1299999999999999</v>
      </c>
    </row>
    <row r="1751" spans="2:21" ht="17.399999999999999" thickTop="1" thickBot="1">
      <c r="B1751" s="103">
        <v>174.49999999999901</v>
      </c>
      <c r="T1751" s="270">
        <v>14.33</v>
      </c>
      <c r="U1751" s="270">
        <v>1.1299999999999999</v>
      </c>
    </row>
    <row r="1752" spans="2:21" ht="17.399999999999999" thickTop="1" thickBot="1">
      <c r="B1752" s="216">
        <v>174.599999999999</v>
      </c>
      <c r="T1752" s="270">
        <v>14.34</v>
      </c>
      <c r="U1752" s="270">
        <v>1.1299999999999999</v>
      </c>
    </row>
    <row r="1753" spans="2:21" ht="17.399999999999999" thickTop="1" thickBot="1">
      <c r="B1753" s="103">
        <v>174.69999999999899</v>
      </c>
      <c r="T1753" s="270">
        <v>14.36</v>
      </c>
      <c r="U1753" s="270">
        <v>1.1299999999999999</v>
      </c>
    </row>
    <row r="1754" spans="2:21" ht="17.399999999999999" thickTop="1" thickBot="1">
      <c r="B1754" s="216">
        <v>174.79999999999899</v>
      </c>
      <c r="T1754" s="270">
        <v>14.38</v>
      </c>
      <c r="U1754" s="270">
        <v>1.1299999999999999</v>
      </c>
    </row>
    <row r="1755" spans="2:21" ht="17.399999999999999" thickTop="1" thickBot="1">
      <c r="B1755" s="103">
        <v>174.89999999999901</v>
      </c>
      <c r="T1755" s="270">
        <v>14.39</v>
      </c>
      <c r="U1755" s="270">
        <v>1.1299999999999999</v>
      </c>
    </row>
    <row r="1756" spans="2:21" ht="17.399999999999999" thickTop="1" thickBot="1">
      <c r="B1756" s="216">
        <v>174.99999999999901</v>
      </c>
      <c r="T1756" s="270">
        <v>14.41</v>
      </c>
      <c r="U1756" s="270">
        <v>1.1299999999999999</v>
      </c>
    </row>
    <row r="1757" spans="2:21" ht="17.399999999999999" thickTop="1" thickBot="1">
      <c r="B1757" s="103">
        <v>175.099999999999</v>
      </c>
      <c r="T1757" s="270">
        <v>14.42</v>
      </c>
      <c r="U1757" s="270">
        <v>1.1299999999999999</v>
      </c>
    </row>
    <row r="1758" spans="2:21" ht="17.399999999999999" thickTop="1" thickBot="1">
      <c r="B1758" s="216">
        <v>175.19999999999899</v>
      </c>
      <c r="T1758" s="270">
        <v>14.44</v>
      </c>
      <c r="U1758" s="270">
        <v>1.1399999999999999</v>
      </c>
    </row>
    <row r="1759" spans="2:21" ht="17.399999999999999" thickTop="1" thickBot="1">
      <c r="B1759" s="103">
        <v>175.29999999999899</v>
      </c>
      <c r="T1759" s="270">
        <v>14.46</v>
      </c>
      <c r="U1759" s="270">
        <v>1.1399999999999999</v>
      </c>
    </row>
    <row r="1760" spans="2:21" ht="17.399999999999999" thickTop="1" thickBot="1">
      <c r="B1760" s="216">
        <v>175.39999999999901</v>
      </c>
      <c r="T1760" s="270">
        <v>14.47</v>
      </c>
      <c r="U1760" s="270">
        <v>1.1399999999999999</v>
      </c>
    </row>
    <row r="1761" spans="2:21" ht="17.399999999999999" thickTop="1" thickBot="1">
      <c r="B1761" s="103">
        <v>175.49999999999901</v>
      </c>
      <c r="T1761" s="270">
        <v>14.49</v>
      </c>
      <c r="U1761" s="270">
        <v>1.1399999999999999</v>
      </c>
    </row>
    <row r="1762" spans="2:21" ht="17.399999999999999" thickTop="1" thickBot="1">
      <c r="B1762" s="216">
        <v>175.599999999999</v>
      </c>
      <c r="T1762" s="270">
        <v>14.51</v>
      </c>
      <c r="U1762" s="270">
        <v>1.1399999999999999</v>
      </c>
    </row>
    <row r="1763" spans="2:21" ht="17.399999999999999" thickTop="1" thickBot="1">
      <c r="B1763" s="103">
        <v>175.69999999999899</v>
      </c>
      <c r="T1763" s="270">
        <v>14.52</v>
      </c>
      <c r="U1763" s="270">
        <v>1.1399999999999999</v>
      </c>
    </row>
    <row r="1764" spans="2:21" ht="17.399999999999999" thickTop="1" thickBot="1">
      <c r="B1764" s="216">
        <v>175.79999999999899</v>
      </c>
      <c r="T1764" s="270">
        <v>14.54</v>
      </c>
      <c r="U1764" s="270">
        <v>1.1399999999999999</v>
      </c>
    </row>
    <row r="1765" spans="2:21" ht="17.399999999999999" thickTop="1" thickBot="1">
      <c r="B1765" s="103">
        <v>175.89999999999901</v>
      </c>
      <c r="T1765" s="270">
        <v>14.56</v>
      </c>
      <c r="U1765" s="270">
        <v>1.1399999999999999</v>
      </c>
    </row>
    <row r="1766" spans="2:21" ht="17.399999999999999" thickTop="1" thickBot="1">
      <c r="B1766" s="216">
        <v>175.99999999999901</v>
      </c>
      <c r="T1766" s="270">
        <v>14.57</v>
      </c>
      <c r="U1766" s="270">
        <v>1.1499999999999999</v>
      </c>
    </row>
    <row r="1767" spans="2:21" ht="17.399999999999999" thickTop="1" thickBot="1">
      <c r="B1767" s="103">
        <v>176.099999999999</v>
      </c>
      <c r="T1767" s="270">
        <v>14.59</v>
      </c>
      <c r="U1767" s="270">
        <v>1.1499999999999999</v>
      </c>
    </row>
    <row r="1768" spans="2:21" ht="17.399999999999999" thickTop="1" thickBot="1">
      <c r="B1768" s="216">
        <v>176.19999999999899</v>
      </c>
      <c r="T1768" s="270">
        <v>14.61</v>
      </c>
      <c r="U1768" s="270">
        <v>1.1499999999999999</v>
      </c>
    </row>
    <row r="1769" spans="2:21" ht="17.399999999999999" thickTop="1" thickBot="1">
      <c r="B1769" s="103">
        <v>176.29999999999899</v>
      </c>
      <c r="T1769" s="270">
        <v>14.62</v>
      </c>
      <c r="U1769" s="270">
        <v>1.1499999999999999</v>
      </c>
    </row>
    <row r="1770" spans="2:21" ht="17.399999999999999" thickTop="1" thickBot="1">
      <c r="B1770" s="216">
        <v>176.39999999999901</v>
      </c>
      <c r="T1770" s="270">
        <v>14.64</v>
      </c>
      <c r="U1770" s="270">
        <v>1.1499999999999999</v>
      </c>
    </row>
    <row r="1771" spans="2:21" ht="17.399999999999999" thickTop="1" thickBot="1">
      <c r="B1771" s="103">
        <v>176.49999999999901</v>
      </c>
      <c r="T1771" s="270">
        <v>14.66</v>
      </c>
      <c r="U1771" s="270">
        <v>1.1499999999999999</v>
      </c>
    </row>
    <row r="1772" spans="2:21" ht="17.399999999999999" thickTop="1" thickBot="1">
      <c r="B1772" s="216">
        <v>176.599999999999</v>
      </c>
      <c r="T1772" s="270">
        <v>14.67</v>
      </c>
      <c r="U1772" s="270">
        <v>1.1499999999999999</v>
      </c>
    </row>
    <row r="1773" spans="2:21" ht="17.399999999999999" thickTop="1" thickBot="1">
      <c r="B1773" s="103">
        <v>176.69999999999899</v>
      </c>
      <c r="T1773" s="270">
        <v>14.69</v>
      </c>
      <c r="U1773" s="270">
        <v>1.1599999999999999</v>
      </c>
    </row>
    <row r="1774" spans="2:21" ht="17.399999999999999" thickTop="1" thickBot="1">
      <c r="B1774" s="216">
        <v>176.79999999999899</v>
      </c>
      <c r="T1774" s="270">
        <v>14.71</v>
      </c>
      <c r="U1774" s="270">
        <v>1.1599999999999999</v>
      </c>
    </row>
    <row r="1775" spans="2:21" ht="17.399999999999999" thickTop="1" thickBot="1">
      <c r="B1775" s="103">
        <v>176.89999999999901</v>
      </c>
      <c r="T1775" s="270">
        <v>14.72</v>
      </c>
      <c r="U1775" s="270">
        <v>1.1599999999999999</v>
      </c>
    </row>
    <row r="1776" spans="2:21" ht="17.399999999999999" thickTop="1" thickBot="1">
      <c r="B1776" s="216">
        <v>176.99999999999901</v>
      </c>
      <c r="T1776" s="270">
        <v>14.74</v>
      </c>
      <c r="U1776" s="270">
        <v>1.1599999999999999</v>
      </c>
    </row>
    <row r="1777" spans="2:21" ht="17.399999999999999" thickTop="1" thickBot="1">
      <c r="B1777" s="103">
        <v>177.099999999999</v>
      </c>
      <c r="T1777" s="270">
        <v>14.76</v>
      </c>
      <c r="U1777" s="270">
        <v>1.1599999999999999</v>
      </c>
    </row>
    <row r="1778" spans="2:21" ht="17.399999999999999" thickTop="1" thickBot="1">
      <c r="B1778" s="216">
        <v>177.19999999999899</v>
      </c>
      <c r="T1778" s="270">
        <v>14.77</v>
      </c>
      <c r="U1778" s="270">
        <v>1.1599999999999999</v>
      </c>
    </row>
    <row r="1779" spans="2:21" ht="17.399999999999999" thickTop="1" thickBot="1">
      <c r="B1779" s="103">
        <v>177.29999999999899</v>
      </c>
      <c r="T1779" s="270">
        <v>14.79</v>
      </c>
      <c r="U1779" s="270">
        <v>1.1599999999999999</v>
      </c>
    </row>
    <row r="1780" spans="2:21" ht="17.399999999999999" thickTop="1" thickBot="1">
      <c r="B1780" s="216">
        <v>177.39999999999901</v>
      </c>
      <c r="T1780" s="270">
        <v>14.81</v>
      </c>
      <c r="U1780" s="270">
        <v>1.1599999999999999</v>
      </c>
    </row>
    <row r="1781" spans="2:21" ht="17.399999999999999" thickTop="1" thickBot="1">
      <c r="B1781" s="103">
        <v>177.49999999999901</v>
      </c>
      <c r="T1781" s="270">
        <v>14.82</v>
      </c>
      <c r="U1781" s="270">
        <v>1.17</v>
      </c>
    </row>
    <row r="1782" spans="2:21" ht="17.399999999999999" thickTop="1" thickBot="1">
      <c r="B1782" s="216">
        <v>177.599999999999</v>
      </c>
      <c r="T1782" s="270">
        <v>14.84</v>
      </c>
      <c r="U1782" s="270">
        <v>1.17</v>
      </c>
    </row>
    <row r="1783" spans="2:21" ht="17.399999999999999" thickTop="1" thickBot="1">
      <c r="B1783" s="103">
        <v>177.69999999999899</v>
      </c>
      <c r="T1783" s="270">
        <v>14.86</v>
      </c>
      <c r="U1783" s="270">
        <v>1.17</v>
      </c>
    </row>
    <row r="1784" spans="2:21" ht="17.399999999999999" thickTop="1" thickBot="1">
      <c r="B1784" s="216">
        <v>177.79999999999899</v>
      </c>
      <c r="T1784" s="270">
        <v>14.87</v>
      </c>
      <c r="U1784" s="270">
        <v>1.17</v>
      </c>
    </row>
    <row r="1785" spans="2:21" ht="17.399999999999999" thickTop="1" thickBot="1">
      <c r="B1785" s="103">
        <v>177.89999999999901</v>
      </c>
      <c r="T1785" s="270">
        <v>14.89</v>
      </c>
      <c r="U1785" s="270">
        <v>1.17</v>
      </c>
    </row>
    <row r="1786" spans="2:21" ht="17.399999999999999" thickTop="1" thickBot="1">
      <c r="B1786" s="216">
        <v>177.99999999999901</v>
      </c>
      <c r="T1786" s="270">
        <v>14.91</v>
      </c>
      <c r="U1786" s="270">
        <v>1.17</v>
      </c>
    </row>
    <row r="1787" spans="2:21" ht="17.399999999999999" thickTop="1" thickBot="1">
      <c r="B1787" s="103">
        <v>178.099999999999</v>
      </c>
      <c r="T1787" s="270">
        <v>14.92</v>
      </c>
      <c r="U1787" s="270">
        <v>1.17</v>
      </c>
    </row>
    <row r="1788" spans="2:21" ht="17.399999999999999" thickTop="1" thickBot="1">
      <c r="B1788" s="216">
        <v>178.19999999999899</v>
      </c>
      <c r="T1788" s="270">
        <v>14.94</v>
      </c>
      <c r="U1788" s="270">
        <v>1.18</v>
      </c>
    </row>
    <row r="1789" spans="2:21" ht="17.399999999999999" thickTop="1" thickBot="1">
      <c r="B1789" s="103">
        <v>178.29999999999899</v>
      </c>
      <c r="T1789" s="270">
        <v>14.96</v>
      </c>
      <c r="U1789" s="270">
        <v>1.18</v>
      </c>
    </row>
    <row r="1790" spans="2:21" ht="17.399999999999999" thickTop="1" thickBot="1">
      <c r="B1790" s="216">
        <v>178.39999999999901</v>
      </c>
      <c r="T1790" s="270">
        <v>14.97</v>
      </c>
      <c r="U1790" s="270">
        <v>1.18</v>
      </c>
    </row>
    <row r="1791" spans="2:21" ht="17.399999999999999" thickTop="1" thickBot="1">
      <c r="B1791" s="103">
        <v>178.49999999999901</v>
      </c>
      <c r="T1791" s="270">
        <v>14.99</v>
      </c>
      <c r="U1791" s="270">
        <v>1.18</v>
      </c>
    </row>
    <row r="1792" spans="2:21" ht="17.399999999999999" thickTop="1" thickBot="1">
      <c r="B1792" s="216">
        <v>178.599999999999</v>
      </c>
      <c r="T1792" s="270">
        <v>15.01</v>
      </c>
      <c r="U1792" s="270">
        <v>1.18</v>
      </c>
    </row>
    <row r="1793" spans="2:21" ht="17.399999999999999" thickTop="1" thickBot="1">
      <c r="B1793" s="103">
        <v>178.69999999999899</v>
      </c>
      <c r="T1793" s="270">
        <v>15.02</v>
      </c>
      <c r="U1793" s="270">
        <v>1.18</v>
      </c>
    </row>
    <row r="1794" spans="2:21" ht="17.399999999999999" thickTop="1" thickBot="1">
      <c r="B1794" s="216">
        <v>178.79999999999899</v>
      </c>
      <c r="T1794" s="270">
        <v>15.04</v>
      </c>
      <c r="U1794" s="270">
        <v>1.18</v>
      </c>
    </row>
    <row r="1795" spans="2:21" ht="17.399999999999999" thickTop="1" thickBot="1">
      <c r="B1795" s="103">
        <v>178.89999999999901</v>
      </c>
      <c r="T1795" s="270">
        <v>15.06</v>
      </c>
      <c r="U1795" s="270">
        <v>1.18</v>
      </c>
    </row>
    <row r="1796" spans="2:21" ht="17.399999999999999" thickTop="1" thickBot="1">
      <c r="B1796" s="216">
        <v>178.99999999999901</v>
      </c>
      <c r="T1796" s="270">
        <v>15.07</v>
      </c>
      <c r="U1796" s="270">
        <v>1.19</v>
      </c>
    </row>
    <row r="1797" spans="2:21" ht="17.399999999999999" thickTop="1" thickBot="1">
      <c r="B1797" s="103">
        <v>179.099999999999</v>
      </c>
      <c r="T1797" s="270">
        <v>15.09</v>
      </c>
      <c r="U1797" s="270">
        <v>1.19</v>
      </c>
    </row>
    <row r="1798" spans="2:21" ht="17.399999999999999" thickTop="1" thickBot="1">
      <c r="B1798" s="216">
        <v>179.19999999999899</v>
      </c>
      <c r="T1798" s="270">
        <v>15.11</v>
      </c>
      <c r="U1798" s="270">
        <v>1.19</v>
      </c>
    </row>
    <row r="1799" spans="2:21" ht="17.399999999999999" thickTop="1" thickBot="1">
      <c r="B1799" s="103">
        <v>179.29999999999899</v>
      </c>
      <c r="T1799" s="270">
        <v>15.12</v>
      </c>
      <c r="U1799" s="270">
        <v>1.19</v>
      </c>
    </row>
    <row r="1800" spans="2:21" ht="17.399999999999999" thickTop="1" thickBot="1">
      <c r="B1800" s="216">
        <v>179.39999999999901</v>
      </c>
      <c r="T1800" s="270">
        <v>15.14</v>
      </c>
      <c r="U1800" s="270">
        <v>1.19</v>
      </c>
    </row>
    <row r="1801" spans="2:21" ht="17.399999999999999" thickTop="1" thickBot="1">
      <c r="B1801" s="103">
        <v>179.49999999999901</v>
      </c>
      <c r="T1801" s="270">
        <v>15.16</v>
      </c>
      <c r="U1801" s="270">
        <v>1.19</v>
      </c>
    </row>
    <row r="1802" spans="2:21" ht="17.399999999999999" thickTop="1" thickBot="1">
      <c r="B1802" s="216">
        <v>179.599999999999</v>
      </c>
      <c r="T1802" s="270">
        <v>15.18</v>
      </c>
      <c r="U1802" s="270">
        <v>1.19</v>
      </c>
    </row>
    <row r="1803" spans="2:21" ht="17.399999999999999" thickTop="1" thickBot="1">
      <c r="B1803" s="103">
        <v>179.69999999999899</v>
      </c>
      <c r="T1803" s="270">
        <v>15.19</v>
      </c>
      <c r="U1803" s="270">
        <v>1.19</v>
      </c>
    </row>
    <row r="1804" spans="2:21" ht="17.399999999999999" thickTop="1" thickBot="1">
      <c r="B1804" s="216">
        <v>179.79999999999899</v>
      </c>
      <c r="T1804" s="270">
        <v>15.21</v>
      </c>
      <c r="U1804" s="270">
        <v>1.2</v>
      </c>
    </row>
    <row r="1805" spans="2:21" ht="17.399999999999999" thickTop="1" thickBot="1">
      <c r="B1805" s="103">
        <v>179.89999999999901</v>
      </c>
      <c r="T1805" s="270">
        <v>15.23</v>
      </c>
      <c r="U1805" s="270">
        <v>1.2</v>
      </c>
    </row>
    <row r="1806" spans="2:21" ht="17.399999999999999" thickTop="1" thickBot="1">
      <c r="B1806" s="216">
        <v>179.99999999999901</v>
      </c>
      <c r="T1806" s="270">
        <v>15.24</v>
      </c>
      <c r="U1806" s="270">
        <v>1.2</v>
      </c>
    </row>
    <row r="1807" spans="2:21" ht="17.399999999999999" thickTop="1" thickBot="1">
      <c r="B1807" s="103">
        <v>180.099999999999</v>
      </c>
      <c r="T1807" s="270">
        <v>15.26</v>
      </c>
      <c r="U1807" s="270">
        <v>1.2</v>
      </c>
    </row>
    <row r="1808" spans="2:21" ht="17.399999999999999" thickTop="1" thickBot="1">
      <c r="B1808" s="216">
        <v>180.19999999999899</v>
      </c>
      <c r="T1808" s="270">
        <v>15.28</v>
      </c>
      <c r="U1808" s="270">
        <v>1.2</v>
      </c>
    </row>
    <row r="1809" spans="2:21" ht="17.399999999999999" thickTop="1" thickBot="1">
      <c r="B1809" s="103">
        <v>180.29999999999899</v>
      </c>
      <c r="T1809" s="270">
        <v>15.29</v>
      </c>
      <c r="U1809" s="270">
        <v>1.2</v>
      </c>
    </row>
    <row r="1810" spans="2:21" ht="17.399999999999999" thickTop="1" thickBot="1">
      <c r="B1810" s="216">
        <v>180.39999999999901</v>
      </c>
      <c r="T1810" s="270">
        <v>15.31</v>
      </c>
      <c r="U1810" s="270">
        <v>1.2</v>
      </c>
    </row>
    <row r="1811" spans="2:21" ht="17.399999999999999" thickTop="1" thickBot="1">
      <c r="B1811" s="103">
        <v>180.49999999999901</v>
      </c>
      <c r="T1811" s="270">
        <v>15.33</v>
      </c>
      <c r="U1811" s="270">
        <v>1.21</v>
      </c>
    </row>
    <row r="1812" spans="2:21" ht="17.399999999999999" thickTop="1" thickBot="1">
      <c r="B1812" s="216">
        <v>180.599999999999</v>
      </c>
      <c r="T1812" s="270">
        <v>15.35</v>
      </c>
      <c r="U1812" s="270">
        <v>1.21</v>
      </c>
    </row>
    <row r="1813" spans="2:21" ht="17.399999999999999" thickTop="1" thickBot="1">
      <c r="B1813" s="103">
        <v>180.69999999999899</v>
      </c>
      <c r="T1813" s="270">
        <v>15.36</v>
      </c>
      <c r="U1813" s="270">
        <v>1.21</v>
      </c>
    </row>
    <row r="1814" spans="2:21" ht="17.399999999999999" thickTop="1" thickBot="1">
      <c r="B1814" s="216">
        <v>180.79999999999899</v>
      </c>
      <c r="T1814" s="270">
        <v>15.38</v>
      </c>
      <c r="U1814" s="270">
        <v>1.21</v>
      </c>
    </row>
    <row r="1815" spans="2:21" ht="17.399999999999999" thickTop="1" thickBot="1">
      <c r="B1815" s="103">
        <v>180.89999999999901</v>
      </c>
      <c r="T1815" s="270">
        <v>15.4</v>
      </c>
      <c r="U1815" s="270">
        <v>1.21</v>
      </c>
    </row>
    <row r="1816" spans="2:21" ht="17.399999999999999" thickTop="1" thickBot="1">
      <c r="B1816" s="216">
        <v>180.99999999999901</v>
      </c>
      <c r="T1816" s="270">
        <v>15.41</v>
      </c>
      <c r="U1816" s="270">
        <v>1.21</v>
      </c>
    </row>
    <row r="1817" spans="2:21" ht="17.399999999999999" thickTop="1" thickBot="1">
      <c r="B1817" s="103">
        <v>181.099999999999</v>
      </c>
      <c r="T1817" s="270">
        <v>15.43</v>
      </c>
      <c r="U1817" s="270">
        <v>1.21</v>
      </c>
    </row>
    <row r="1818" spans="2:21" ht="17.399999999999999" thickTop="1" thickBot="1">
      <c r="B1818" s="216">
        <v>181.19999999999899</v>
      </c>
      <c r="T1818" s="270">
        <v>15.45</v>
      </c>
      <c r="U1818" s="270">
        <v>1.21</v>
      </c>
    </row>
    <row r="1819" spans="2:21" ht="17.399999999999999" thickTop="1" thickBot="1">
      <c r="B1819" s="103">
        <v>181.29999999999899</v>
      </c>
      <c r="T1819" s="270">
        <v>15.46</v>
      </c>
      <c r="U1819" s="270">
        <v>1.22</v>
      </c>
    </row>
    <row r="1820" spans="2:21" ht="17.399999999999999" thickTop="1" thickBot="1">
      <c r="B1820" s="216">
        <v>181.39999999999901</v>
      </c>
      <c r="T1820" s="270">
        <v>15.48</v>
      </c>
      <c r="U1820" s="270">
        <v>1.22</v>
      </c>
    </row>
    <row r="1821" spans="2:21" ht="17.399999999999999" thickTop="1" thickBot="1">
      <c r="B1821" s="103">
        <v>181.49999999999901</v>
      </c>
      <c r="T1821" s="270">
        <v>15.5</v>
      </c>
      <c r="U1821" s="270">
        <v>1.22</v>
      </c>
    </row>
    <row r="1822" spans="2:21" ht="17.399999999999999" thickTop="1" thickBot="1">
      <c r="B1822" s="216">
        <v>181.599999999999</v>
      </c>
      <c r="T1822" s="270">
        <v>15.52</v>
      </c>
      <c r="U1822" s="270">
        <v>1.22</v>
      </c>
    </row>
    <row r="1823" spans="2:21" ht="17.399999999999999" thickTop="1" thickBot="1">
      <c r="B1823" s="103">
        <v>181.69999999999899</v>
      </c>
      <c r="T1823" s="270">
        <v>15.53</v>
      </c>
      <c r="U1823" s="270">
        <v>1.22</v>
      </c>
    </row>
    <row r="1824" spans="2:21" ht="17.399999999999999" thickTop="1" thickBot="1">
      <c r="B1824" s="216">
        <v>181.79999999999899</v>
      </c>
      <c r="T1824" s="270">
        <v>15.55</v>
      </c>
      <c r="U1824" s="270">
        <v>1.22</v>
      </c>
    </row>
    <row r="1825" spans="2:21" ht="17.399999999999999" thickTop="1" thickBot="1">
      <c r="B1825" s="103">
        <v>181.89999999999901</v>
      </c>
      <c r="T1825" s="270">
        <v>15.57</v>
      </c>
      <c r="U1825" s="270">
        <v>1.22</v>
      </c>
    </row>
    <row r="1826" spans="2:21" ht="17.399999999999999" thickTop="1" thickBot="1">
      <c r="B1826" s="216">
        <v>181.99999999999901</v>
      </c>
      <c r="T1826" s="270">
        <v>15.58</v>
      </c>
      <c r="U1826" s="270">
        <v>1.23</v>
      </c>
    </row>
    <row r="1827" spans="2:21" ht="17.399999999999999" thickTop="1" thickBot="1">
      <c r="B1827" s="103">
        <v>182.099999999999</v>
      </c>
      <c r="T1827" s="270">
        <v>15.6</v>
      </c>
      <c r="U1827" s="270">
        <v>1.23</v>
      </c>
    </row>
    <row r="1828" spans="2:21" ht="17.399999999999999" thickTop="1" thickBot="1">
      <c r="B1828" s="216">
        <v>182.19999999999899</v>
      </c>
      <c r="T1828" s="270">
        <v>15.62</v>
      </c>
      <c r="U1828" s="270">
        <v>1.23</v>
      </c>
    </row>
    <row r="1829" spans="2:21" ht="17.399999999999999" thickTop="1" thickBot="1">
      <c r="B1829" s="103">
        <v>182.29999999999899</v>
      </c>
      <c r="T1829" s="270">
        <v>15.64</v>
      </c>
      <c r="U1829" s="270">
        <v>1.23</v>
      </c>
    </row>
    <row r="1830" spans="2:21" ht="17.399999999999999" thickTop="1" thickBot="1">
      <c r="B1830" s="216">
        <v>182.39999999999901</v>
      </c>
      <c r="T1830" s="270">
        <v>15.65</v>
      </c>
      <c r="U1830" s="270">
        <v>1.23</v>
      </c>
    </row>
    <row r="1831" spans="2:21" ht="17.399999999999999" thickTop="1" thickBot="1">
      <c r="B1831" s="103">
        <v>182.49999999999901</v>
      </c>
      <c r="T1831" s="270">
        <v>15.67</v>
      </c>
      <c r="U1831" s="270">
        <v>1.23</v>
      </c>
    </row>
    <row r="1832" spans="2:21" ht="17.399999999999999" thickTop="1" thickBot="1">
      <c r="B1832" s="216">
        <v>182.599999999999</v>
      </c>
      <c r="T1832" s="270">
        <v>15.69</v>
      </c>
      <c r="U1832" s="270">
        <v>1.23</v>
      </c>
    </row>
    <row r="1833" spans="2:21" ht="17.399999999999999" thickTop="1" thickBot="1">
      <c r="B1833" s="103">
        <v>182.69999999999899</v>
      </c>
      <c r="T1833" s="270">
        <v>15.7</v>
      </c>
      <c r="U1833" s="270">
        <v>1.24</v>
      </c>
    </row>
    <row r="1834" spans="2:21" ht="17.399999999999999" thickTop="1" thickBot="1">
      <c r="B1834" s="216">
        <v>182.79999999999899</v>
      </c>
      <c r="T1834" s="270">
        <v>15.72</v>
      </c>
      <c r="U1834" s="270">
        <v>1.24</v>
      </c>
    </row>
    <row r="1835" spans="2:21" ht="17.399999999999999" thickTop="1" thickBot="1">
      <c r="B1835" s="103">
        <v>182.89999999999901</v>
      </c>
      <c r="T1835" s="270">
        <v>15.74</v>
      </c>
      <c r="U1835" s="270">
        <v>1.24</v>
      </c>
    </row>
    <row r="1836" spans="2:21" ht="17.399999999999999" thickTop="1" thickBot="1">
      <c r="B1836" s="216">
        <v>182.99999999999901</v>
      </c>
      <c r="T1836" s="270">
        <v>15.76</v>
      </c>
      <c r="U1836" s="270">
        <v>1.24</v>
      </c>
    </row>
    <row r="1837" spans="2:21" ht="17.399999999999999" thickTop="1" thickBot="1">
      <c r="B1837" s="103">
        <v>183.099999999999</v>
      </c>
      <c r="T1837" s="270">
        <v>15.77</v>
      </c>
      <c r="U1837" s="270">
        <v>1.24</v>
      </c>
    </row>
    <row r="1838" spans="2:21" ht="17.399999999999999" thickTop="1" thickBot="1">
      <c r="B1838" s="216">
        <v>183.19999999999899</v>
      </c>
      <c r="T1838" s="270">
        <v>15.79</v>
      </c>
      <c r="U1838" s="270">
        <v>1.24</v>
      </c>
    </row>
    <row r="1839" spans="2:21" ht="17.399999999999999" thickTop="1" thickBot="1">
      <c r="B1839" s="103">
        <v>183.29999999999899</v>
      </c>
      <c r="T1839" s="270">
        <v>15.81</v>
      </c>
      <c r="U1839" s="270">
        <v>1.24</v>
      </c>
    </row>
    <row r="1840" spans="2:21" ht="17.399999999999999" thickTop="1" thickBot="1">
      <c r="B1840" s="216">
        <v>183.39999999999901</v>
      </c>
      <c r="T1840" s="270">
        <v>15.82</v>
      </c>
      <c r="U1840" s="270">
        <v>1.24</v>
      </c>
    </row>
    <row r="1841" spans="2:21" ht="17.399999999999999" thickTop="1" thickBot="1">
      <c r="B1841" s="103">
        <v>183.49999999999901</v>
      </c>
      <c r="T1841" s="270">
        <v>15.84</v>
      </c>
      <c r="U1841" s="270">
        <v>1.25</v>
      </c>
    </row>
    <row r="1842" spans="2:21" ht="17.399999999999999" thickTop="1" thickBot="1">
      <c r="B1842" s="216">
        <v>183.599999999999</v>
      </c>
      <c r="T1842" s="270">
        <v>15.86</v>
      </c>
      <c r="U1842" s="270">
        <v>1.25</v>
      </c>
    </row>
    <row r="1843" spans="2:21" ht="17.399999999999999" thickTop="1" thickBot="1">
      <c r="B1843" s="103">
        <v>183.69999999999899</v>
      </c>
      <c r="T1843" s="270">
        <v>15.88</v>
      </c>
      <c r="U1843" s="270">
        <v>1.25</v>
      </c>
    </row>
    <row r="1844" spans="2:21" ht="17.399999999999999" thickTop="1" thickBot="1">
      <c r="B1844" s="216">
        <v>183.79999999999899</v>
      </c>
      <c r="T1844" s="270">
        <v>15.89</v>
      </c>
      <c r="U1844" s="270">
        <v>1.25</v>
      </c>
    </row>
    <row r="1845" spans="2:21" ht="17.399999999999999" thickTop="1" thickBot="1">
      <c r="B1845" s="103">
        <v>183.89999999999901</v>
      </c>
      <c r="T1845" s="270">
        <v>15.91</v>
      </c>
      <c r="U1845" s="270">
        <v>1.25</v>
      </c>
    </row>
    <row r="1846" spans="2:21" ht="17.399999999999999" thickTop="1" thickBot="1">
      <c r="B1846" s="216">
        <v>183.99999999999901</v>
      </c>
      <c r="T1846" s="270">
        <v>15.93</v>
      </c>
      <c r="U1846" s="270">
        <v>1.25</v>
      </c>
    </row>
    <row r="1847" spans="2:21" ht="17.399999999999999" thickTop="1" thickBot="1">
      <c r="B1847" s="103">
        <v>184.099999999999</v>
      </c>
      <c r="T1847" s="270">
        <v>15.95</v>
      </c>
      <c r="U1847" s="270">
        <v>1.25</v>
      </c>
    </row>
    <row r="1848" spans="2:21" ht="17.399999999999999" thickTop="1" thickBot="1">
      <c r="B1848" s="216">
        <v>184.19999999999899</v>
      </c>
      <c r="T1848" s="270">
        <v>15.96</v>
      </c>
      <c r="U1848" s="270">
        <v>1.26</v>
      </c>
    </row>
    <row r="1849" spans="2:21" ht="17.399999999999999" thickTop="1" thickBot="1">
      <c r="B1849" s="103">
        <v>184.29999999999899</v>
      </c>
      <c r="T1849" s="270">
        <v>15.98</v>
      </c>
      <c r="U1849" s="270">
        <v>1.26</v>
      </c>
    </row>
    <row r="1850" spans="2:21" ht="17.399999999999999" thickTop="1" thickBot="1">
      <c r="B1850" s="216">
        <v>184.39999999999901</v>
      </c>
      <c r="T1850" s="270">
        <v>16</v>
      </c>
      <c r="U1850" s="270">
        <v>1.26</v>
      </c>
    </row>
    <row r="1851" spans="2:21" ht="17.399999999999999" thickTop="1" thickBot="1">
      <c r="B1851" s="103">
        <v>184.49999999999901</v>
      </c>
      <c r="T1851" s="270">
        <v>16.010000000000002</v>
      </c>
      <c r="U1851" s="270">
        <v>1.26</v>
      </c>
    </row>
    <row r="1852" spans="2:21" ht="17.399999999999999" thickTop="1" thickBot="1">
      <c r="B1852" s="216">
        <v>184.599999999999</v>
      </c>
      <c r="T1852" s="270">
        <v>16.03</v>
      </c>
      <c r="U1852" s="270">
        <v>1.26</v>
      </c>
    </row>
    <row r="1853" spans="2:21" ht="17.399999999999999" thickTop="1" thickBot="1">
      <c r="B1853" s="103">
        <v>184.69999999999899</v>
      </c>
      <c r="T1853" s="270">
        <v>16.05</v>
      </c>
      <c r="U1853" s="270">
        <v>1.26</v>
      </c>
    </row>
    <row r="1854" spans="2:21" ht="17.399999999999999" thickTop="1" thickBot="1">
      <c r="B1854" s="216">
        <v>184.79999999999899</v>
      </c>
      <c r="T1854" s="270">
        <v>16.07</v>
      </c>
      <c r="U1854" s="270">
        <v>1.26</v>
      </c>
    </row>
    <row r="1855" spans="2:21" ht="17.399999999999999" thickTop="1" thickBot="1">
      <c r="B1855" s="103">
        <v>184.89999999999901</v>
      </c>
      <c r="T1855" s="270">
        <v>16.079999999999998</v>
      </c>
      <c r="U1855" s="270">
        <v>1.27</v>
      </c>
    </row>
    <row r="1856" spans="2:21" ht="17.399999999999999" thickTop="1" thickBot="1">
      <c r="B1856" s="216">
        <v>184.99999999999901</v>
      </c>
      <c r="T1856" s="270">
        <v>16.100000000000001</v>
      </c>
      <c r="U1856" s="270">
        <v>1.27</v>
      </c>
    </row>
    <row r="1857" spans="2:21" ht="17.399999999999999" thickTop="1" thickBot="1">
      <c r="B1857" s="103">
        <v>185.099999999999</v>
      </c>
      <c r="T1857" s="270">
        <v>16.12</v>
      </c>
      <c r="U1857" s="270">
        <v>1.27</v>
      </c>
    </row>
    <row r="1858" spans="2:21" ht="17.399999999999999" thickTop="1" thickBot="1">
      <c r="B1858" s="216">
        <v>185.19999999999899</v>
      </c>
      <c r="T1858" s="270">
        <v>16.14</v>
      </c>
      <c r="U1858" s="270">
        <v>1.27</v>
      </c>
    </row>
    <row r="1859" spans="2:21" ht="17.399999999999999" thickTop="1" thickBot="1">
      <c r="B1859" s="103">
        <v>185.29999999999899</v>
      </c>
      <c r="T1859" s="270">
        <v>16.149999999999999</v>
      </c>
      <c r="U1859" s="270">
        <v>1.27</v>
      </c>
    </row>
    <row r="1860" spans="2:21" ht="17.399999999999999" thickTop="1" thickBot="1">
      <c r="B1860" s="216">
        <v>185.39999999999901</v>
      </c>
      <c r="T1860" s="270">
        <v>16.170000000000002</v>
      </c>
      <c r="U1860" s="270">
        <v>1.27</v>
      </c>
    </row>
    <row r="1861" spans="2:21" ht="17.399999999999999" thickTop="1" thickBot="1">
      <c r="B1861" s="103">
        <v>185.49999999999901</v>
      </c>
      <c r="T1861" s="270">
        <v>16.190000000000001</v>
      </c>
      <c r="U1861" s="270">
        <v>1.27</v>
      </c>
    </row>
    <row r="1862" spans="2:21" ht="17.399999999999999" thickTop="1" thickBot="1">
      <c r="B1862" s="216">
        <v>185.599999999999</v>
      </c>
      <c r="T1862" s="270">
        <v>16.21</v>
      </c>
      <c r="U1862" s="270">
        <v>1.27</v>
      </c>
    </row>
    <row r="1863" spans="2:21" ht="17.399999999999999" thickTop="1" thickBot="1">
      <c r="B1863" s="103">
        <v>185.69999999999899</v>
      </c>
      <c r="T1863" s="270">
        <v>16.22</v>
      </c>
      <c r="U1863" s="270">
        <v>1.28</v>
      </c>
    </row>
    <row r="1864" spans="2:21" ht="17.399999999999999" thickTop="1" thickBot="1">
      <c r="B1864" s="216">
        <v>185.79999999999899</v>
      </c>
      <c r="T1864" s="270">
        <v>16.239999999999998</v>
      </c>
      <c r="U1864" s="270">
        <v>1.28</v>
      </c>
    </row>
    <row r="1865" spans="2:21" ht="17.399999999999999" thickTop="1" thickBot="1">
      <c r="B1865" s="103">
        <v>185.89999999999901</v>
      </c>
      <c r="T1865" s="270">
        <v>16.260000000000002</v>
      </c>
      <c r="U1865" s="270">
        <v>1.28</v>
      </c>
    </row>
    <row r="1866" spans="2:21" ht="17.399999999999999" thickTop="1" thickBot="1">
      <c r="B1866" s="216">
        <v>185.99999999999901</v>
      </c>
      <c r="T1866" s="270">
        <v>16.28</v>
      </c>
      <c r="U1866" s="270">
        <v>1.28</v>
      </c>
    </row>
    <row r="1867" spans="2:21" ht="17.399999999999999" thickTop="1" thickBot="1">
      <c r="B1867" s="103">
        <v>186.099999999999</v>
      </c>
      <c r="T1867" s="270">
        <v>16.29</v>
      </c>
      <c r="U1867" s="270">
        <v>1.28</v>
      </c>
    </row>
    <row r="1868" spans="2:21" ht="17.399999999999999" thickTop="1" thickBot="1">
      <c r="B1868" s="216">
        <v>186.19999999999899</v>
      </c>
      <c r="T1868" s="270">
        <v>16.309999999999999</v>
      </c>
      <c r="U1868" s="270">
        <v>1.28</v>
      </c>
    </row>
    <row r="1869" spans="2:21" ht="17.399999999999999" thickTop="1" thickBot="1">
      <c r="B1869" s="103">
        <v>186.29999999999899</v>
      </c>
      <c r="T1869" s="270">
        <v>16.329999999999998</v>
      </c>
      <c r="U1869" s="270">
        <v>1.28</v>
      </c>
    </row>
    <row r="1870" spans="2:21" ht="17.399999999999999" thickTop="1" thickBot="1">
      <c r="B1870" s="216">
        <v>186.39999999999901</v>
      </c>
      <c r="T1870" s="270">
        <v>16.350000000000001</v>
      </c>
      <c r="U1870" s="270">
        <v>1.29</v>
      </c>
    </row>
    <row r="1871" spans="2:21" ht="17.399999999999999" thickTop="1" thickBot="1">
      <c r="B1871" s="103">
        <v>186.49999999999901</v>
      </c>
      <c r="T1871" s="270">
        <v>16.36</v>
      </c>
      <c r="U1871" s="270">
        <v>1.29</v>
      </c>
    </row>
    <row r="1872" spans="2:21" ht="17.399999999999999" thickTop="1" thickBot="1">
      <c r="B1872" s="216">
        <v>186.599999999999</v>
      </c>
      <c r="T1872" s="270">
        <v>16.38</v>
      </c>
      <c r="U1872" s="270">
        <v>1.29</v>
      </c>
    </row>
    <row r="1873" spans="2:21" ht="17.399999999999999" thickTop="1" thickBot="1">
      <c r="B1873" s="103">
        <v>186.69999999999899</v>
      </c>
      <c r="T1873" s="270">
        <v>16.399999999999999</v>
      </c>
      <c r="U1873" s="270">
        <v>1.29</v>
      </c>
    </row>
    <row r="1874" spans="2:21" ht="17.399999999999999" thickTop="1" thickBot="1">
      <c r="B1874" s="216">
        <v>186.79999999999899</v>
      </c>
      <c r="T1874" s="270">
        <v>16.420000000000002</v>
      </c>
      <c r="U1874" s="270">
        <v>1.29</v>
      </c>
    </row>
    <row r="1875" spans="2:21" ht="17.399999999999999" thickTop="1" thickBot="1">
      <c r="B1875" s="103">
        <v>186.89999999999901</v>
      </c>
      <c r="T1875" s="270">
        <v>16.43</v>
      </c>
      <c r="U1875" s="270">
        <v>1.29</v>
      </c>
    </row>
    <row r="1876" spans="2:21" ht="17.399999999999999" thickTop="1" thickBot="1">
      <c r="B1876" s="216">
        <v>186.99999999999901</v>
      </c>
      <c r="T1876" s="270">
        <v>16.45</v>
      </c>
      <c r="U1876" s="270">
        <v>1.29</v>
      </c>
    </row>
    <row r="1877" spans="2:21" ht="17.399999999999999" thickTop="1" thickBot="1">
      <c r="B1877" s="103">
        <v>187.099999999999</v>
      </c>
      <c r="T1877" s="270">
        <v>16.47</v>
      </c>
      <c r="U1877" s="270">
        <v>1.3</v>
      </c>
    </row>
    <row r="1878" spans="2:21" ht="17.399999999999999" thickTop="1" thickBot="1">
      <c r="B1878" s="216">
        <v>187.19999999999899</v>
      </c>
      <c r="T1878" s="270">
        <v>16.489999999999998</v>
      </c>
      <c r="U1878" s="270">
        <v>1.3</v>
      </c>
    </row>
    <row r="1879" spans="2:21" ht="17.399999999999999" thickTop="1" thickBot="1">
      <c r="B1879" s="103">
        <v>187.29999999999899</v>
      </c>
      <c r="T1879" s="270">
        <v>16.5</v>
      </c>
      <c r="U1879" s="270">
        <v>1.3</v>
      </c>
    </row>
    <row r="1880" spans="2:21" ht="17.399999999999999" thickTop="1" thickBot="1">
      <c r="B1880" s="216">
        <v>187.39999999999901</v>
      </c>
      <c r="T1880" s="270">
        <v>16.52</v>
      </c>
      <c r="U1880" s="270">
        <v>1.3</v>
      </c>
    </row>
    <row r="1881" spans="2:21" ht="17.399999999999999" thickTop="1" thickBot="1">
      <c r="B1881" s="103">
        <v>187.49999999999901</v>
      </c>
      <c r="T1881" s="270">
        <v>16.54</v>
      </c>
      <c r="U1881" s="270">
        <v>1.3</v>
      </c>
    </row>
    <row r="1882" spans="2:21" ht="17.399999999999999" thickTop="1" thickBot="1">
      <c r="B1882" s="216">
        <v>187.599999999999</v>
      </c>
      <c r="T1882" s="270">
        <v>16.559999999999999</v>
      </c>
      <c r="U1882" s="270">
        <v>1.3</v>
      </c>
    </row>
    <row r="1883" spans="2:21" ht="17.399999999999999" thickTop="1" thickBot="1">
      <c r="B1883" s="103">
        <v>187.69999999999899</v>
      </c>
      <c r="T1883" s="270">
        <v>16.579999999999998</v>
      </c>
      <c r="U1883" s="270">
        <v>1.3</v>
      </c>
    </row>
    <row r="1884" spans="2:21" ht="17.399999999999999" thickTop="1" thickBot="1">
      <c r="B1884" s="216">
        <v>187.79999999999899</v>
      </c>
      <c r="T1884" s="270">
        <v>16.59</v>
      </c>
      <c r="U1884" s="270">
        <v>1.31</v>
      </c>
    </row>
    <row r="1885" spans="2:21" ht="17.399999999999999" thickTop="1" thickBot="1">
      <c r="B1885" s="103">
        <v>187.89999999999901</v>
      </c>
      <c r="T1885" s="270">
        <v>16.61</v>
      </c>
      <c r="U1885" s="270">
        <v>1.31</v>
      </c>
    </row>
    <row r="1886" spans="2:21" ht="17.399999999999999" thickTop="1" thickBot="1">
      <c r="B1886" s="216">
        <v>187.99999999999901</v>
      </c>
      <c r="T1886" s="270">
        <v>16.63</v>
      </c>
      <c r="U1886" s="270">
        <v>1.31</v>
      </c>
    </row>
    <row r="1887" spans="2:21" ht="17.399999999999999" thickTop="1" thickBot="1">
      <c r="B1887" s="103">
        <v>188.099999999999</v>
      </c>
      <c r="T1887" s="270">
        <v>16.649999999999999</v>
      </c>
      <c r="U1887" s="270">
        <v>1.31</v>
      </c>
    </row>
    <row r="1888" spans="2:21" ht="17.399999999999999" thickTop="1" thickBot="1">
      <c r="B1888" s="216">
        <v>188.19999999999899</v>
      </c>
      <c r="T1888" s="270">
        <v>16.66</v>
      </c>
      <c r="U1888" s="270">
        <v>1.31</v>
      </c>
    </row>
    <row r="1889" spans="2:21" ht="17.399999999999999" thickTop="1" thickBot="1">
      <c r="B1889" s="103">
        <v>188.29999999999899</v>
      </c>
      <c r="T1889" s="270">
        <v>16.68</v>
      </c>
      <c r="U1889" s="270">
        <v>1.31</v>
      </c>
    </row>
    <row r="1890" spans="2:21" ht="17.399999999999999" thickTop="1" thickBot="1">
      <c r="B1890" s="216">
        <v>188.39999999999901</v>
      </c>
      <c r="T1890" s="270">
        <v>16.7</v>
      </c>
      <c r="U1890" s="270">
        <v>1.31</v>
      </c>
    </row>
    <row r="1891" spans="2:21" ht="17.399999999999999" thickTop="1" thickBot="1">
      <c r="B1891" s="103">
        <v>188.49999999999901</v>
      </c>
      <c r="T1891" s="270">
        <v>16.72</v>
      </c>
      <c r="U1891" s="270">
        <v>1.31</v>
      </c>
    </row>
    <row r="1892" spans="2:21" ht="17.399999999999999" thickTop="1" thickBot="1">
      <c r="B1892" s="216">
        <v>188.599999999999</v>
      </c>
      <c r="T1892" s="270">
        <v>16.73</v>
      </c>
      <c r="U1892" s="270">
        <v>1.32</v>
      </c>
    </row>
    <row r="1893" spans="2:21" ht="17.399999999999999" thickTop="1" thickBot="1">
      <c r="B1893" s="103">
        <v>188.69999999999899</v>
      </c>
      <c r="T1893" s="270">
        <v>16.75</v>
      </c>
      <c r="U1893" s="270">
        <v>1.32</v>
      </c>
    </row>
    <row r="1894" spans="2:21" ht="17.399999999999999" thickTop="1" thickBot="1">
      <c r="B1894" s="216">
        <v>188.79999999999899</v>
      </c>
      <c r="T1894" s="270">
        <v>16.77</v>
      </c>
      <c r="U1894" s="270">
        <v>1.32</v>
      </c>
    </row>
    <row r="1895" spans="2:21" ht="17.399999999999999" thickTop="1" thickBot="1">
      <c r="B1895" s="103">
        <v>188.89999999999901</v>
      </c>
      <c r="T1895" s="270">
        <v>16.79</v>
      </c>
      <c r="U1895" s="270">
        <v>1.32</v>
      </c>
    </row>
    <row r="1896" spans="2:21" ht="17.399999999999999" thickTop="1" thickBot="1">
      <c r="B1896" s="216">
        <v>188.99999999999901</v>
      </c>
      <c r="T1896" s="270">
        <v>16.809999999999999</v>
      </c>
      <c r="U1896" s="270">
        <v>1.32</v>
      </c>
    </row>
    <row r="1897" spans="2:21" ht="17.399999999999999" thickTop="1" thickBot="1">
      <c r="B1897" s="103">
        <v>189.099999999999</v>
      </c>
      <c r="T1897" s="270">
        <v>16.82</v>
      </c>
      <c r="U1897" s="270">
        <v>1.32</v>
      </c>
    </row>
    <row r="1898" spans="2:21" ht="17.399999999999999" thickTop="1" thickBot="1">
      <c r="B1898" s="216">
        <v>189.19999999999899</v>
      </c>
      <c r="T1898" s="270">
        <v>16.84</v>
      </c>
      <c r="U1898" s="270">
        <v>1.32</v>
      </c>
    </row>
    <row r="1899" spans="2:21" ht="17.399999999999999" thickTop="1" thickBot="1">
      <c r="B1899" s="103">
        <v>189.29999999999899</v>
      </c>
      <c r="T1899" s="270">
        <v>16.86</v>
      </c>
      <c r="U1899" s="270">
        <v>1.33</v>
      </c>
    </row>
    <row r="1900" spans="2:21" ht="17.399999999999999" thickTop="1" thickBot="1">
      <c r="B1900" s="216">
        <v>189.39999999999901</v>
      </c>
      <c r="T1900" s="270">
        <v>16.88</v>
      </c>
      <c r="U1900" s="270">
        <v>1.33</v>
      </c>
    </row>
    <row r="1901" spans="2:21" ht="17.399999999999999" thickTop="1" thickBot="1">
      <c r="B1901" s="103">
        <v>189.49999999999901</v>
      </c>
      <c r="T1901" s="270">
        <v>16.89</v>
      </c>
      <c r="U1901" s="270">
        <v>1.33</v>
      </c>
    </row>
    <row r="1902" spans="2:21" ht="17.399999999999999" thickTop="1" thickBot="1">
      <c r="B1902" s="216">
        <v>189.599999999999</v>
      </c>
      <c r="T1902" s="270">
        <v>16.91</v>
      </c>
      <c r="U1902" s="270">
        <v>1.33</v>
      </c>
    </row>
    <row r="1903" spans="2:21" ht="17.399999999999999" thickTop="1" thickBot="1">
      <c r="B1903" s="103">
        <v>189.69999999999899</v>
      </c>
      <c r="T1903" s="270">
        <v>16.93</v>
      </c>
      <c r="U1903" s="270">
        <v>1.33</v>
      </c>
    </row>
    <row r="1904" spans="2:21" ht="17.399999999999999" thickTop="1" thickBot="1">
      <c r="B1904" s="216">
        <v>189.79999999999899</v>
      </c>
      <c r="T1904" s="270">
        <v>16.95</v>
      </c>
      <c r="U1904" s="270">
        <v>1.33</v>
      </c>
    </row>
    <row r="1905" spans="2:21" ht="17.399999999999999" thickTop="1" thickBot="1">
      <c r="B1905" s="103">
        <v>189.89999999999901</v>
      </c>
      <c r="T1905" s="270">
        <v>16.97</v>
      </c>
      <c r="U1905" s="270">
        <v>1.33</v>
      </c>
    </row>
    <row r="1906" spans="2:21" ht="17.399999999999999" thickTop="1" thickBot="1">
      <c r="B1906" s="216">
        <v>189.99999999999901</v>
      </c>
      <c r="T1906" s="270">
        <v>16.98</v>
      </c>
      <c r="U1906" s="270">
        <v>1.34</v>
      </c>
    </row>
    <row r="1907" spans="2:21" ht="17.399999999999999" thickTop="1" thickBot="1">
      <c r="B1907" s="103">
        <v>190.099999999999</v>
      </c>
      <c r="T1907" s="270">
        <v>17</v>
      </c>
      <c r="U1907" s="270">
        <v>1.34</v>
      </c>
    </row>
    <row r="1908" spans="2:21" ht="17.399999999999999" thickTop="1" thickBot="1">
      <c r="B1908" s="216">
        <v>190.19999999999899</v>
      </c>
      <c r="T1908" s="270">
        <v>17.02</v>
      </c>
      <c r="U1908" s="270">
        <v>1.34</v>
      </c>
    </row>
    <row r="1909" spans="2:21" ht="17.399999999999999" thickTop="1" thickBot="1">
      <c r="B1909" s="103">
        <v>190.29999999999899</v>
      </c>
      <c r="T1909" s="270">
        <v>17.04</v>
      </c>
      <c r="U1909" s="270">
        <v>1.34</v>
      </c>
    </row>
    <row r="1910" spans="2:21" ht="17.399999999999999" thickTop="1" thickBot="1">
      <c r="B1910" s="216">
        <v>190.39999999999901</v>
      </c>
      <c r="T1910" s="270">
        <v>17.059999999999999</v>
      </c>
      <c r="U1910" s="270">
        <v>1.34</v>
      </c>
    </row>
    <row r="1911" spans="2:21" ht="17.399999999999999" thickTop="1" thickBot="1">
      <c r="B1911" s="103">
        <v>190.49999999999901</v>
      </c>
      <c r="T1911" s="270">
        <v>17.07</v>
      </c>
      <c r="U1911" s="270">
        <v>1.34</v>
      </c>
    </row>
    <row r="1912" spans="2:21" ht="17.399999999999999" thickTop="1" thickBot="1">
      <c r="B1912" s="216">
        <v>190.599999999999</v>
      </c>
      <c r="T1912" s="270">
        <v>17.09</v>
      </c>
      <c r="U1912" s="270">
        <v>1.34</v>
      </c>
    </row>
    <row r="1913" spans="2:21" ht="17.399999999999999" thickTop="1" thickBot="1">
      <c r="B1913" s="103">
        <v>190.69999999999899</v>
      </c>
      <c r="T1913" s="270">
        <v>17.11</v>
      </c>
      <c r="U1913" s="270">
        <v>1.35</v>
      </c>
    </row>
    <row r="1914" spans="2:21" ht="17.399999999999999" thickTop="1" thickBot="1">
      <c r="B1914" s="216">
        <v>190.79999999999899</v>
      </c>
      <c r="T1914" s="270">
        <v>17.13</v>
      </c>
      <c r="U1914" s="270">
        <v>1.35</v>
      </c>
    </row>
    <row r="1915" spans="2:21" ht="17.399999999999999" thickTop="1" thickBot="1">
      <c r="B1915" s="103">
        <v>190.89999999999901</v>
      </c>
      <c r="T1915" s="270">
        <v>17.149999999999999</v>
      </c>
      <c r="U1915" s="270">
        <v>1.35</v>
      </c>
    </row>
    <row r="1916" spans="2:21" ht="17.399999999999999" thickTop="1" thickBot="1">
      <c r="B1916" s="216">
        <v>190.99999999999901</v>
      </c>
      <c r="T1916" s="270">
        <v>17.16</v>
      </c>
      <c r="U1916" s="270">
        <v>1.35</v>
      </c>
    </row>
    <row r="1917" spans="2:21" ht="17.399999999999999" thickTop="1" thickBot="1">
      <c r="B1917" s="103">
        <v>191.099999999999</v>
      </c>
      <c r="T1917" s="270">
        <v>17.18</v>
      </c>
      <c r="U1917" s="270">
        <v>1.35</v>
      </c>
    </row>
    <row r="1918" spans="2:21" ht="17.399999999999999" thickTop="1" thickBot="1">
      <c r="B1918" s="216">
        <v>191.19999999999899</v>
      </c>
      <c r="T1918" s="270">
        <v>17.2</v>
      </c>
      <c r="U1918" s="270">
        <v>1.35</v>
      </c>
    </row>
    <row r="1919" spans="2:21" ht="17.399999999999999" thickTop="1" thickBot="1">
      <c r="B1919" s="103">
        <v>191.29999999999899</v>
      </c>
      <c r="T1919" s="270">
        <v>17.22</v>
      </c>
      <c r="U1919" s="270">
        <v>1.35</v>
      </c>
    </row>
    <row r="1920" spans="2:21" ht="17.399999999999999" thickTop="1" thickBot="1">
      <c r="B1920" s="216">
        <v>191.39999999999901</v>
      </c>
      <c r="T1920" s="270">
        <v>17.239999999999998</v>
      </c>
      <c r="U1920" s="270">
        <v>1.36</v>
      </c>
    </row>
    <row r="1921" spans="2:21" ht="17.399999999999999" thickTop="1" thickBot="1">
      <c r="B1921" s="103">
        <v>191.49999999999901</v>
      </c>
      <c r="T1921" s="270">
        <v>17.25</v>
      </c>
      <c r="U1921" s="270">
        <v>1.36</v>
      </c>
    </row>
    <row r="1922" spans="2:21" ht="17.399999999999999" thickTop="1" thickBot="1">
      <c r="B1922" s="216">
        <v>191.599999999999</v>
      </c>
      <c r="T1922" s="270">
        <v>17.27</v>
      </c>
      <c r="U1922" s="270">
        <v>1.36</v>
      </c>
    </row>
    <row r="1923" spans="2:21" ht="17.399999999999999" thickTop="1" thickBot="1">
      <c r="B1923" s="103">
        <v>191.69999999999899</v>
      </c>
      <c r="T1923" s="270">
        <v>17.29</v>
      </c>
      <c r="U1923" s="270">
        <v>1.36</v>
      </c>
    </row>
    <row r="1924" spans="2:21" ht="17.399999999999999" thickTop="1" thickBot="1">
      <c r="B1924" s="216">
        <v>191.79999999999899</v>
      </c>
      <c r="T1924" s="270">
        <v>17.309999999999999</v>
      </c>
      <c r="U1924" s="270">
        <v>1.36</v>
      </c>
    </row>
    <row r="1925" spans="2:21" ht="17.399999999999999" thickTop="1" thickBot="1">
      <c r="B1925" s="103">
        <v>191.89999999999901</v>
      </c>
      <c r="T1925" s="270">
        <v>17.329999999999998</v>
      </c>
      <c r="U1925" s="270">
        <v>1.36</v>
      </c>
    </row>
    <row r="1926" spans="2:21" ht="17.399999999999999" thickTop="1" thickBot="1">
      <c r="B1926" s="216">
        <v>191.99999999999901</v>
      </c>
      <c r="T1926" s="270">
        <v>17.34</v>
      </c>
      <c r="U1926" s="270">
        <v>1.36</v>
      </c>
    </row>
    <row r="1927" spans="2:21" ht="17.399999999999999" thickTop="1" thickBot="1">
      <c r="B1927" s="103">
        <v>192.099999999999</v>
      </c>
      <c r="T1927" s="270">
        <v>17.36</v>
      </c>
      <c r="U1927" s="270">
        <v>1.37</v>
      </c>
    </row>
    <row r="1928" spans="2:21" ht="17.399999999999999" thickTop="1" thickBot="1">
      <c r="B1928" s="216">
        <v>192.19999999999899</v>
      </c>
      <c r="T1928" s="270">
        <v>17.38</v>
      </c>
      <c r="U1928" s="270">
        <v>1.37</v>
      </c>
    </row>
    <row r="1929" spans="2:21" ht="17.399999999999999" thickTop="1" thickBot="1">
      <c r="B1929" s="103">
        <v>192.29999999999899</v>
      </c>
      <c r="T1929" s="270">
        <v>17.399999999999999</v>
      </c>
      <c r="U1929" s="270">
        <v>1.37</v>
      </c>
    </row>
    <row r="1930" spans="2:21" ht="17.399999999999999" thickTop="1" thickBot="1">
      <c r="B1930" s="216">
        <v>192.39999999999901</v>
      </c>
      <c r="T1930" s="270">
        <v>17.420000000000002</v>
      </c>
      <c r="U1930" s="270">
        <v>1.37</v>
      </c>
    </row>
    <row r="1931" spans="2:21" ht="17.399999999999999" thickTop="1" thickBot="1">
      <c r="B1931" s="103">
        <v>192.49999999999901</v>
      </c>
      <c r="T1931" s="270">
        <v>17.43</v>
      </c>
      <c r="U1931" s="270">
        <v>1.37</v>
      </c>
    </row>
    <row r="1932" spans="2:21" ht="17.399999999999999" thickTop="1" thickBot="1">
      <c r="B1932" s="216">
        <v>192.599999999999</v>
      </c>
      <c r="T1932" s="270">
        <v>17.45</v>
      </c>
      <c r="U1932" s="270">
        <v>1.37</v>
      </c>
    </row>
    <row r="1933" spans="2:21" ht="17.399999999999999" thickTop="1" thickBot="1">
      <c r="B1933" s="103">
        <v>192.69999999999899</v>
      </c>
      <c r="T1933" s="270">
        <v>17.47</v>
      </c>
      <c r="U1933" s="270">
        <v>1.37</v>
      </c>
    </row>
    <row r="1934" spans="2:21" ht="17.399999999999999" thickTop="1" thickBot="1">
      <c r="B1934" s="216">
        <v>192.79999999999899</v>
      </c>
      <c r="T1934" s="270">
        <v>17.489999999999998</v>
      </c>
      <c r="U1934" s="270">
        <v>1.38</v>
      </c>
    </row>
    <row r="1935" spans="2:21" ht="17.399999999999999" thickTop="1" thickBot="1">
      <c r="B1935" s="103">
        <v>192.89999999999901</v>
      </c>
      <c r="T1935" s="270">
        <v>17.510000000000002</v>
      </c>
      <c r="U1935" s="270">
        <v>1.38</v>
      </c>
    </row>
    <row r="1936" spans="2:21" ht="17.399999999999999" thickTop="1" thickBot="1">
      <c r="B1936" s="216">
        <v>192.99999999999901</v>
      </c>
      <c r="T1936" s="270">
        <v>17.52</v>
      </c>
      <c r="U1936" s="270">
        <v>1.38</v>
      </c>
    </row>
    <row r="1937" spans="2:21" ht="17.399999999999999" thickTop="1" thickBot="1">
      <c r="B1937" s="103">
        <v>193.099999999999</v>
      </c>
      <c r="T1937" s="270">
        <v>17.54</v>
      </c>
      <c r="U1937" s="270">
        <v>1.38</v>
      </c>
    </row>
    <row r="1938" spans="2:21" ht="17.399999999999999" thickTop="1" thickBot="1">
      <c r="B1938" s="216">
        <v>193.19999999999899</v>
      </c>
      <c r="T1938" s="270">
        <v>17.559999999999999</v>
      </c>
      <c r="U1938" s="270">
        <v>1.38</v>
      </c>
    </row>
    <row r="1939" spans="2:21" ht="17.399999999999999" thickTop="1" thickBot="1">
      <c r="B1939" s="103">
        <v>193.29999999999899</v>
      </c>
      <c r="T1939" s="270">
        <v>17.579999999999998</v>
      </c>
      <c r="U1939" s="270">
        <v>1.38</v>
      </c>
    </row>
    <row r="1940" spans="2:21" ht="17.399999999999999" thickTop="1" thickBot="1">
      <c r="B1940" s="216">
        <v>193.39999999999901</v>
      </c>
      <c r="T1940" s="270">
        <v>17.600000000000001</v>
      </c>
      <c r="U1940" s="270">
        <v>1.38</v>
      </c>
    </row>
    <row r="1941" spans="2:21" ht="17.399999999999999" thickTop="1" thickBot="1">
      <c r="B1941" s="103">
        <v>193.49999999999901</v>
      </c>
      <c r="T1941" s="270">
        <v>17.62</v>
      </c>
      <c r="U1941" s="270">
        <v>1.39</v>
      </c>
    </row>
    <row r="1942" spans="2:21" ht="17.399999999999999" thickTop="1" thickBot="1">
      <c r="B1942" s="216">
        <v>193.599999999999</v>
      </c>
      <c r="T1942" s="270">
        <v>17.63</v>
      </c>
      <c r="U1942" s="270">
        <v>1.39</v>
      </c>
    </row>
    <row r="1943" spans="2:21" ht="17.399999999999999" thickTop="1" thickBot="1">
      <c r="B1943" s="103">
        <v>193.69999999999899</v>
      </c>
      <c r="T1943" s="270">
        <v>17.649999999999999</v>
      </c>
      <c r="U1943" s="270">
        <v>1.39</v>
      </c>
    </row>
    <row r="1944" spans="2:21" ht="17.399999999999999" thickTop="1" thickBot="1">
      <c r="B1944" s="216">
        <v>193.79999999999899</v>
      </c>
      <c r="T1944" s="270">
        <v>17.670000000000002</v>
      </c>
      <c r="U1944" s="270">
        <v>1.39</v>
      </c>
    </row>
    <row r="1945" spans="2:21" ht="17.399999999999999" thickTop="1" thickBot="1">
      <c r="B1945" s="103">
        <v>193.89999999999901</v>
      </c>
      <c r="T1945" s="270">
        <v>17.690000000000001</v>
      </c>
      <c r="U1945" s="270">
        <v>1.39</v>
      </c>
    </row>
    <row r="1946" spans="2:21" ht="17.399999999999999" thickTop="1" thickBot="1">
      <c r="B1946" s="216">
        <v>193.99999999999901</v>
      </c>
      <c r="T1946" s="270">
        <v>17.71</v>
      </c>
      <c r="U1946" s="270">
        <v>1.39</v>
      </c>
    </row>
    <row r="1947" spans="2:21" ht="17.399999999999999" thickTop="1" thickBot="1">
      <c r="B1947" s="103">
        <v>194.099999999999</v>
      </c>
      <c r="T1947" s="270">
        <v>17.72</v>
      </c>
      <c r="U1947" s="270">
        <v>1.39</v>
      </c>
    </row>
    <row r="1948" spans="2:21" ht="17.399999999999999" thickTop="1" thickBot="1">
      <c r="B1948" s="216">
        <v>194.19999999999899</v>
      </c>
      <c r="T1948" s="270">
        <v>17.739999999999998</v>
      </c>
      <c r="U1948" s="270">
        <v>1.4</v>
      </c>
    </row>
    <row r="1949" spans="2:21" ht="17.399999999999999" thickTop="1" thickBot="1">
      <c r="B1949" s="103">
        <v>194.29999999999899</v>
      </c>
      <c r="T1949" s="270">
        <v>17.760000000000002</v>
      </c>
      <c r="U1949" s="270">
        <v>1.4</v>
      </c>
    </row>
    <row r="1950" spans="2:21" ht="17.399999999999999" thickTop="1" thickBot="1">
      <c r="B1950" s="216">
        <v>194.39999999999901</v>
      </c>
      <c r="T1950" s="270">
        <v>17.78</v>
      </c>
      <c r="U1950" s="270">
        <v>1.4</v>
      </c>
    </row>
    <row r="1951" spans="2:21" ht="17.399999999999999" thickTop="1" thickBot="1">
      <c r="B1951" s="103">
        <v>194.49999999999901</v>
      </c>
      <c r="T1951" s="270">
        <v>17.8</v>
      </c>
      <c r="U1951" s="270">
        <v>1.4</v>
      </c>
    </row>
    <row r="1952" spans="2:21" ht="17.399999999999999" thickTop="1" thickBot="1">
      <c r="B1952" s="216">
        <v>194.599999999999</v>
      </c>
      <c r="T1952" s="270">
        <v>17.82</v>
      </c>
      <c r="U1952" s="270">
        <v>1.4</v>
      </c>
    </row>
    <row r="1953" spans="2:21" ht="17.399999999999999" thickTop="1" thickBot="1">
      <c r="B1953" s="103">
        <v>194.69999999999899</v>
      </c>
      <c r="T1953" s="270">
        <v>17.829999999999998</v>
      </c>
      <c r="U1953" s="270">
        <v>1.4</v>
      </c>
    </row>
    <row r="1954" spans="2:21" ht="17.399999999999999" thickTop="1" thickBot="1">
      <c r="B1954" s="216">
        <v>194.79999999999899</v>
      </c>
      <c r="T1954" s="270">
        <v>17.850000000000001</v>
      </c>
      <c r="U1954" s="270">
        <v>1.4</v>
      </c>
    </row>
    <row r="1955" spans="2:21" ht="17.399999999999999" thickTop="1" thickBot="1">
      <c r="B1955" s="103">
        <v>194.89999999999901</v>
      </c>
      <c r="T1955" s="270">
        <v>17.87</v>
      </c>
      <c r="U1955" s="270">
        <v>1.41</v>
      </c>
    </row>
    <row r="1956" spans="2:21" ht="17.399999999999999" thickTop="1" thickBot="1">
      <c r="B1956" s="216">
        <v>194.99999999999901</v>
      </c>
      <c r="T1956" s="270">
        <v>17.89</v>
      </c>
      <c r="U1956" s="270">
        <v>1.41</v>
      </c>
    </row>
    <row r="1957" spans="2:21" ht="17.399999999999999" thickTop="1" thickBot="1">
      <c r="B1957" s="103">
        <v>195.099999999999</v>
      </c>
      <c r="T1957" s="270">
        <v>17.91</v>
      </c>
      <c r="U1957" s="270">
        <v>1.41</v>
      </c>
    </row>
    <row r="1958" spans="2:21" ht="17.399999999999999" thickTop="1" thickBot="1">
      <c r="B1958" s="216">
        <v>195.19999999999899</v>
      </c>
      <c r="T1958" s="270">
        <v>17.93</v>
      </c>
      <c r="U1958" s="270">
        <v>1.41</v>
      </c>
    </row>
    <row r="1959" spans="2:21" ht="17.399999999999999" thickTop="1" thickBot="1">
      <c r="B1959" s="103">
        <v>195.29999999999899</v>
      </c>
      <c r="T1959" s="270">
        <v>17.940000000000001</v>
      </c>
      <c r="U1959" s="270">
        <v>1.41</v>
      </c>
    </row>
    <row r="1960" spans="2:21" ht="17.399999999999999" thickTop="1" thickBot="1">
      <c r="B1960" s="216">
        <v>195.39999999999901</v>
      </c>
      <c r="T1960" s="270">
        <v>17.96</v>
      </c>
      <c r="U1960" s="270">
        <v>1.41</v>
      </c>
    </row>
    <row r="1961" spans="2:21" ht="17.399999999999999" thickTop="1" thickBot="1">
      <c r="B1961" s="103">
        <v>195.49999999999901</v>
      </c>
      <c r="T1961" s="270">
        <v>17.98</v>
      </c>
      <c r="U1961" s="270">
        <v>1.41</v>
      </c>
    </row>
    <row r="1962" spans="2:21" ht="17.399999999999999" thickTop="1" thickBot="1">
      <c r="B1962" s="216">
        <v>195.599999999999</v>
      </c>
      <c r="T1962" s="270">
        <v>18</v>
      </c>
      <c r="U1962" s="270">
        <v>1.42</v>
      </c>
    </row>
    <row r="1963" spans="2:21" ht="17.399999999999999" thickTop="1" thickBot="1">
      <c r="B1963" s="103">
        <v>195.69999999999899</v>
      </c>
      <c r="T1963" s="270">
        <v>18.02</v>
      </c>
      <c r="U1963" s="270">
        <v>1.42</v>
      </c>
    </row>
    <row r="1964" spans="2:21" ht="17.399999999999999" thickTop="1" thickBot="1">
      <c r="B1964" s="216">
        <v>195.79999999999899</v>
      </c>
      <c r="T1964" s="270">
        <v>18.04</v>
      </c>
      <c r="U1964" s="270">
        <v>1.42</v>
      </c>
    </row>
    <row r="1965" spans="2:21" ht="17.399999999999999" thickTop="1" thickBot="1">
      <c r="B1965" s="103">
        <v>195.89999999999901</v>
      </c>
      <c r="T1965" s="270">
        <v>18.059999999999999</v>
      </c>
      <c r="U1965" s="270">
        <v>1.42</v>
      </c>
    </row>
    <row r="1966" spans="2:21" ht="17.399999999999999" thickTop="1" thickBot="1">
      <c r="B1966" s="216">
        <v>195.99999999999901</v>
      </c>
      <c r="T1966" s="270">
        <v>18.07</v>
      </c>
      <c r="U1966" s="270">
        <v>1.42</v>
      </c>
    </row>
    <row r="1967" spans="2:21" ht="17.399999999999999" thickTop="1" thickBot="1">
      <c r="B1967" s="103">
        <v>196.099999999999</v>
      </c>
      <c r="T1967" s="270">
        <v>18.09</v>
      </c>
      <c r="U1967" s="270">
        <v>1.42</v>
      </c>
    </row>
    <row r="1968" spans="2:21" ht="17.399999999999999" thickTop="1" thickBot="1">
      <c r="B1968" s="216">
        <v>196.19999999999899</v>
      </c>
      <c r="T1968" s="270">
        <v>18.11</v>
      </c>
      <c r="U1968" s="270">
        <v>1.42</v>
      </c>
    </row>
    <row r="1969" spans="2:21" ht="17.399999999999999" thickTop="1" thickBot="1">
      <c r="B1969" s="103">
        <v>196.29999999999899</v>
      </c>
      <c r="T1969" s="270">
        <v>18.13</v>
      </c>
      <c r="U1969" s="270">
        <v>1.43</v>
      </c>
    </row>
    <row r="1970" spans="2:21" ht="17.399999999999999" thickTop="1" thickBot="1">
      <c r="B1970" s="216">
        <v>196.39999999999901</v>
      </c>
      <c r="T1970" s="270">
        <v>18.149999999999999</v>
      </c>
      <c r="U1970" s="270">
        <v>1.43</v>
      </c>
    </row>
    <row r="1971" spans="2:21" ht="17.399999999999999" thickTop="1" thickBot="1">
      <c r="B1971" s="103">
        <v>196.49999999999901</v>
      </c>
      <c r="T1971" s="270">
        <v>18.170000000000002</v>
      </c>
      <c r="U1971" s="270">
        <v>1.43</v>
      </c>
    </row>
    <row r="1972" spans="2:21" ht="17.399999999999999" thickTop="1" thickBot="1">
      <c r="B1972" s="216">
        <v>196.599999999999</v>
      </c>
      <c r="T1972" s="270">
        <v>18.18</v>
      </c>
      <c r="U1972" s="270">
        <v>1.43</v>
      </c>
    </row>
    <row r="1973" spans="2:21" ht="17.399999999999999" thickTop="1" thickBot="1">
      <c r="B1973" s="103">
        <v>196.69999999999899</v>
      </c>
      <c r="T1973" s="270">
        <v>18.2</v>
      </c>
      <c r="U1973" s="270">
        <v>1.43</v>
      </c>
    </row>
    <row r="1974" spans="2:21" ht="17.399999999999999" thickTop="1" thickBot="1">
      <c r="B1974" s="216">
        <v>196.79999999999899</v>
      </c>
      <c r="T1974" s="270">
        <v>18.22</v>
      </c>
      <c r="U1974" s="270">
        <v>1.43</v>
      </c>
    </row>
    <row r="1975" spans="2:21" ht="17.399999999999999" thickTop="1" thickBot="1">
      <c r="B1975" s="103">
        <v>196.89999999999901</v>
      </c>
      <c r="T1975" s="270">
        <v>18.239999999999998</v>
      </c>
      <c r="U1975" s="270">
        <v>1.43</v>
      </c>
    </row>
    <row r="1976" spans="2:21" ht="17.399999999999999" thickTop="1" thickBot="1">
      <c r="B1976" s="216">
        <v>196.99999999999901</v>
      </c>
      <c r="T1976" s="270">
        <v>18.260000000000002</v>
      </c>
      <c r="U1976" s="270">
        <v>1.44</v>
      </c>
    </row>
    <row r="1977" spans="2:21" ht="17.399999999999999" thickTop="1" thickBot="1">
      <c r="B1977" s="103">
        <v>197.099999999999</v>
      </c>
      <c r="T1977" s="270">
        <v>18.28</v>
      </c>
      <c r="U1977" s="270">
        <v>1.44</v>
      </c>
    </row>
    <row r="1978" spans="2:21" ht="17.399999999999999" thickTop="1" thickBot="1">
      <c r="B1978" s="216">
        <v>197.19999999999899</v>
      </c>
      <c r="T1978" s="270">
        <v>18.3</v>
      </c>
      <c r="U1978" s="270">
        <v>1.44</v>
      </c>
    </row>
    <row r="1979" spans="2:21" ht="17.399999999999999" thickTop="1" thickBot="1">
      <c r="B1979" s="103">
        <v>197.29999999999899</v>
      </c>
      <c r="T1979" s="270">
        <v>18.309999999999999</v>
      </c>
      <c r="U1979" s="270">
        <v>1.44</v>
      </c>
    </row>
    <row r="1980" spans="2:21" ht="17.399999999999999" thickTop="1" thickBot="1">
      <c r="B1980" s="216">
        <v>197.39999999999901</v>
      </c>
      <c r="T1980" s="270">
        <v>18.329999999999998</v>
      </c>
      <c r="U1980" s="270">
        <v>1.44</v>
      </c>
    </row>
    <row r="1981" spans="2:21" ht="17.399999999999999" thickTop="1" thickBot="1">
      <c r="B1981" s="103">
        <v>197.49999999999901</v>
      </c>
      <c r="T1981" s="270">
        <v>18.350000000000001</v>
      </c>
      <c r="U1981" s="270">
        <v>1.44</v>
      </c>
    </row>
    <row r="1982" spans="2:21" ht="17.399999999999999" thickTop="1" thickBot="1">
      <c r="B1982" s="216">
        <v>197.599999999999</v>
      </c>
      <c r="T1982" s="270">
        <v>18.37</v>
      </c>
      <c r="U1982" s="270">
        <v>1.44</v>
      </c>
    </row>
    <row r="1983" spans="2:21" ht="17.399999999999999" thickTop="1" thickBot="1">
      <c r="B1983" s="103">
        <v>197.69999999999899</v>
      </c>
      <c r="T1983" s="270">
        <v>18.39</v>
      </c>
      <c r="U1983" s="270">
        <v>1.45</v>
      </c>
    </row>
    <row r="1984" spans="2:21" ht="17.399999999999999" thickTop="1" thickBot="1">
      <c r="B1984" s="216">
        <v>197.79999999999899</v>
      </c>
      <c r="T1984" s="270">
        <v>18.41</v>
      </c>
      <c r="U1984" s="270">
        <v>1.45</v>
      </c>
    </row>
    <row r="1985" spans="2:21" ht="17.399999999999999" thickTop="1" thickBot="1">
      <c r="B1985" s="103">
        <v>197.89999999999901</v>
      </c>
      <c r="T1985" s="270">
        <v>18.43</v>
      </c>
      <c r="U1985" s="270">
        <v>1.45</v>
      </c>
    </row>
    <row r="1986" spans="2:21" ht="17.399999999999999" thickTop="1" thickBot="1">
      <c r="B1986" s="216">
        <v>197.99999999999901</v>
      </c>
      <c r="T1986" s="270">
        <v>18.440000000000001</v>
      </c>
      <c r="U1986" s="270">
        <v>1.45</v>
      </c>
    </row>
    <row r="1987" spans="2:21" ht="17.399999999999999" thickTop="1" thickBot="1">
      <c r="B1987" s="103">
        <v>198.099999999999</v>
      </c>
      <c r="T1987" s="270">
        <v>18.46</v>
      </c>
      <c r="U1987" s="270">
        <v>1.45</v>
      </c>
    </row>
    <row r="1988" spans="2:21" ht="17.399999999999999" thickTop="1" thickBot="1">
      <c r="B1988" s="216">
        <v>198.19999999999899</v>
      </c>
      <c r="T1988" s="270">
        <v>18.48</v>
      </c>
      <c r="U1988" s="270">
        <v>1.45</v>
      </c>
    </row>
    <row r="1989" spans="2:21" ht="17.399999999999999" thickTop="1" thickBot="1">
      <c r="B1989" s="103">
        <v>198.29999999999899</v>
      </c>
      <c r="T1989" s="270">
        <v>18.5</v>
      </c>
      <c r="U1989" s="270">
        <v>1.46</v>
      </c>
    </row>
    <row r="1990" spans="2:21" ht="17.399999999999999" thickTop="1" thickBot="1">
      <c r="B1990" s="216">
        <v>198.39999999999901</v>
      </c>
      <c r="T1990" s="270">
        <v>18.52</v>
      </c>
      <c r="U1990" s="270">
        <v>1.46</v>
      </c>
    </row>
    <row r="1991" spans="2:21" ht="17.399999999999999" thickTop="1" thickBot="1">
      <c r="B1991" s="103">
        <v>198.49999999999901</v>
      </c>
      <c r="T1991" s="270">
        <v>18.54</v>
      </c>
      <c r="U1991" s="270">
        <v>1.46</v>
      </c>
    </row>
    <row r="1992" spans="2:21" ht="17.399999999999999" thickTop="1" thickBot="1">
      <c r="B1992" s="216">
        <v>198.599999999999</v>
      </c>
      <c r="T1992" s="270">
        <v>18.559999999999999</v>
      </c>
      <c r="U1992" s="270">
        <v>1.46</v>
      </c>
    </row>
    <row r="1993" spans="2:21" ht="17.399999999999999" thickTop="1" thickBot="1">
      <c r="B1993" s="103">
        <v>198.69999999999899</v>
      </c>
      <c r="T1993" s="270">
        <v>18.579999999999998</v>
      </c>
      <c r="U1993" s="270">
        <v>1.46</v>
      </c>
    </row>
    <row r="1994" spans="2:21" ht="17.399999999999999" thickTop="1" thickBot="1">
      <c r="B1994" s="216">
        <v>198.79999999999899</v>
      </c>
      <c r="T1994" s="270">
        <v>18.59</v>
      </c>
      <c r="U1994" s="270">
        <v>1.46</v>
      </c>
    </row>
    <row r="1995" spans="2:21" ht="17.399999999999999" thickTop="1" thickBot="1">
      <c r="B1995" s="103">
        <v>198.89999999999901</v>
      </c>
      <c r="T1995" s="270">
        <v>18.61</v>
      </c>
      <c r="U1995" s="270">
        <v>1.46</v>
      </c>
    </row>
    <row r="1996" spans="2:21" ht="17.399999999999999" thickTop="1" thickBot="1">
      <c r="B1996" s="216">
        <v>198.99999999999901</v>
      </c>
      <c r="T1996" s="270">
        <v>18.63</v>
      </c>
      <c r="U1996" s="270">
        <v>1.47</v>
      </c>
    </row>
    <row r="1997" spans="2:21" ht="17.399999999999999" thickTop="1" thickBot="1">
      <c r="B1997" s="103">
        <v>199.099999999999</v>
      </c>
      <c r="T1997" s="270">
        <v>18.649999999999999</v>
      </c>
      <c r="U1997" s="270">
        <v>1.47</v>
      </c>
    </row>
    <row r="1998" spans="2:21" ht="17.399999999999999" thickTop="1" thickBot="1">
      <c r="B1998" s="216">
        <v>199.19999999999899</v>
      </c>
      <c r="T1998" s="270">
        <v>18.670000000000002</v>
      </c>
      <c r="U1998" s="270">
        <v>1.47</v>
      </c>
    </row>
    <row r="1999" spans="2:21" ht="17.399999999999999" thickTop="1" thickBot="1">
      <c r="B1999" s="103">
        <v>199.29999999999899</v>
      </c>
      <c r="T1999" s="270">
        <v>18.690000000000001</v>
      </c>
      <c r="U1999" s="270">
        <v>1.47</v>
      </c>
    </row>
    <row r="2000" spans="2:21" ht="17.399999999999999" thickTop="1" thickBot="1">
      <c r="B2000" s="216">
        <v>199.39999999999901</v>
      </c>
      <c r="T2000" s="270">
        <v>18.71</v>
      </c>
      <c r="U2000" s="270">
        <v>1.47</v>
      </c>
    </row>
    <row r="2001" spans="2:21" ht="17.399999999999999" thickTop="1" thickBot="1">
      <c r="B2001" s="103">
        <v>199.49999999999901</v>
      </c>
      <c r="T2001" s="270">
        <v>18.72</v>
      </c>
      <c r="U2001" s="270">
        <v>1.47</v>
      </c>
    </row>
    <row r="2002" spans="2:21" ht="17.399999999999999" thickTop="1" thickBot="1">
      <c r="B2002" s="216">
        <v>199.599999999999</v>
      </c>
      <c r="T2002" s="270">
        <v>18.739999999999998</v>
      </c>
      <c r="U2002" s="270">
        <v>1.47</v>
      </c>
    </row>
    <row r="2003" spans="2:21" ht="17.399999999999999" thickTop="1" thickBot="1">
      <c r="B2003" s="103">
        <v>199.69999999999899</v>
      </c>
      <c r="T2003" s="270">
        <v>18.760000000000002</v>
      </c>
      <c r="U2003" s="270">
        <v>1.48</v>
      </c>
    </row>
    <row r="2004" spans="2:21" ht="17.399999999999999" thickTop="1" thickBot="1">
      <c r="B2004" s="216">
        <v>199.79999999999899</v>
      </c>
      <c r="T2004" s="270">
        <v>18.78</v>
      </c>
      <c r="U2004" s="270">
        <v>1.48</v>
      </c>
    </row>
    <row r="2005" spans="2:21" ht="17.399999999999999" thickTop="1" thickBot="1">
      <c r="B2005" s="103">
        <v>199.89999999999901</v>
      </c>
      <c r="T2005" s="270">
        <v>18.8</v>
      </c>
      <c r="U2005" s="270">
        <v>1.48</v>
      </c>
    </row>
    <row r="2006" spans="2:21" ht="17.399999999999999" thickTop="1" thickBot="1">
      <c r="B2006" s="216">
        <v>199.99999999999901</v>
      </c>
      <c r="T2006" s="270">
        <v>18.82</v>
      </c>
      <c r="U2006" s="270">
        <v>1.48</v>
      </c>
    </row>
    <row r="2007" spans="2:21" ht="17.399999999999999" thickTop="1" thickBot="1">
      <c r="B2007" s="103">
        <v>200.099999999999</v>
      </c>
      <c r="T2007" s="270">
        <v>18.84</v>
      </c>
      <c r="U2007" s="270">
        <v>1.48</v>
      </c>
    </row>
    <row r="2008" spans="2:21" ht="17.399999999999999" thickTop="1" thickBot="1">
      <c r="B2008" s="216">
        <v>200.19999999999899</v>
      </c>
      <c r="T2008" s="270">
        <v>18.86</v>
      </c>
      <c r="U2008" s="270">
        <v>1.48</v>
      </c>
    </row>
    <row r="2009" spans="2:21" ht="17.399999999999999" thickTop="1" thickBot="1">
      <c r="B2009" s="103">
        <v>200.29999999999899</v>
      </c>
      <c r="T2009" s="270">
        <v>18.88</v>
      </c>
      <c r="U2009" s="270">
        <v>1.48</v>
      </c>
    </row>
    <row r="2010" spans="2:21" ht="17.399999999999999" thickTop="1" thickBot="1">
      <c r="B2010" s="216">
        <v>200.39999999999901</v>
      </c>
      <c r="T2010" s="270">
        <v>18.89</v>
      </c>
      <c r="U2010" s="270">
        <v>1.49</v>
      </c>
    </row>
    <row r="2011" spans="2:21" ht="17.399999999999999" thickTop="1" thickBot="1">
      <c r="B2011" s="103">
        <v>200.49999999999901</v>
      </c>
      <c r="T2011" s="270">
        <v>18.91</v>
      </c>
      <c r="U2011" s="270">
        <v>1.49</v>
      </c>
    </row>
    <row r="2012" spans="2:21" ht="17.399999999999999" thickTop="1" thickBot="1">
      <c r="B2012" s="216">
        <v>200.599999999999</v>
      </c>
      <c r="T2012" s="270">
        <v>18.93</v>
      </c>
      <c r="U2012" s="270">
        <v>1.49</v>
      </c>
    </row>
    <row r="2013" spans="2:21" ht="17.399999999999999" thickTop="1" thickBot="1">
      <c r="B2013" s="103">
        <v>200.69999999999899</v>
      </c>
      <c r="T2013" s="270">
        <v>18.95</v>
      </c>
      <c r="U2013" s="270">
        <v>1.49</v>
      </c>
    </row>
    <row r="2014" spans="2:21" ht="17.399999999999999" thickTop="1" thickBot="1">
      <c r="B2014" s="216">
        <v>200.79999999999899</v>
      </c>
      <c r="T2014" s="270">
        <v>18.97</v>
      </c>
      <c r="U2014" s="270">
        <v>1.49</v>
      </c>
    </row>
    <row r="2015" spans="2:21" ht="17.399999999999999" thickTop="1" thickBot="1">
      <c r="B2015" s="103">
        <v>200.89999999999901</v>
      </c>
      <c r="T2015" s="270">
        <v>18.989999999999998</v>
      </c>
      <c r="U2015" s="270">
        <v>1.49</v>
      </c>
    </row>
    <row r="2016" spans="2:21" ht="17.399999999999999" thickTop="1" thickBot="1">
      <c r="B2016" s="216">
        <v>200.99999999999901</v>
      </c>
      <c r="T2016" s="270">
        <v>19.010000000000002</v>
      </c>
      <c r="U2016" s="270">
        <v>1.49</v>
      </c>
    </row>
    <row r="2017" spans="2:21" ht="17.399999999999999" thickTop="1" thickBot="1">
      <c r="B2017" s="103">
        <v>201.099999999999</v>
      </c>
      <c r="T2017" s="270">
        <v>19.03</v>
      </c>
      <c r="U2017" s="270">
        <v>1.5</v>
      </c>
    </row>
    <row r="2018" spans="2:21" ht="17.399999999999999" thickTop="1" thickBot="1">
      <c r="B2018" s="216">
        <v>201.19999999999899</v>
      </c>
      <c r="T2018" s="270">
        <v>19.05</v>
      </c>
      <c r="U2018" s="270">
        <v>1.5</v>
      </c>
    </row>
    <row r="2019" spans="2:21" ht="17.399999999999999" thickTop="1" thickBot="1">
      <c r="B2019" s="103">
        <v>201.29999999999899</v>
      </c>
      <c r="T2019" s="270">
        <v>19.059999999999999</v>
      </c>
      <c r="U2019" s="270">
        <v>1.5</v>
      </c>
    </row>
    <row r="2020" spans="2:21" ht="17.399999999999999" thickTop="1" thickBot="1">
      <c r="B2020" s="216">
        <v>201.39999999999901</v>
      </c>
      <c r="T2020" s="270">
        <v>19.079999999999998</v>
      </c>
      <c r="U2020" s="270">
        <v>1.5</v>
      </c>
    </row>
    <row r="2021" spans="2:21" ht="17.399999999999999" thickTop="1" thickBot="1">
      <c r="B2021" s="103">
        <v>201.49999999999901</v>
      </c>
      <c r="T2021" s="270">
        <v>19.100000000000001</v>
      </c>
      <c r="U2021" s="270">
        <v>1.5</v>
      </c>
    </row>
    <row r="2022" spans="2:21" ht="17.399999999999999" thickTop="1" thickBot="1">
      <c r="B2022" s="216">
        <v>201.599999999999</v>
      </c>
      <c r="T2022" s="270">
        <v>19.12</v>
      </c>
      <c r="U2022" s="270">
        <v>1.5</v>
      </c>
    </row>
    <row r="2023" spans="2:21" ht="17.399999999999999" thickTop="1" thickBot="1">
      <c r="B2023" s="103">
        <v>201.69999999999899</v>
      </c>
      <c r="T2023" s="270">
        <v>19.14</v>
      </c>
      <c r="U2023" s="270">
        <v>1.51</v>
      </c>
    </row>
    <row r="2024" spans="2:21" ht="17.399999999999999" thickTop="1" thickBot="1">
      <c r="B2024" s="216">
        <v>201.79999999999899</v>
      </c>
      <c r="T2024" s="270">
        <v>19.16</v>
      </c>
      <c r="U2024" s="270">
        <v>1.51</v>
      </c>
    </row>
    <row r="2025" spans="2:21" ht="17.399999999999999" thickTop="1" thickBot="1">
      <c r="B2025" s="103">
        <v>201.89999999999901</v>
      </c>
      <c r="T2025" s="270">
        <v>19.18</v>
      </c>
      <c r="U2025" s="270">
        <v>1.51</v>
      </c>
    </row>
    <row r="2026" spans="2:21" ht="17.399999999999999" thickTop="1" thickBot="1">
      <c r="B2026" s="216">
        <v>201.99999999999901</v>
      </c>
      <c r="T2026" s="270">
        <v>19.2</v>
      </c>
      <c r="U2026" s="270">
        <v>1.51</v>
      </c>
    </row>
    <row r="2027" spans="2:21" ht="17.399999999999999" thickTop="1" thickBot="1">
      <c r="B2027" s="103">
        <v>202.099999999999</v>
      </c>
      <c r="T2027" s="270">
        <v>19.22</v>
      </c>
      <c r="U2027" s="270">
        <v>1.51</v>
      </c>
    </row>
    <row r="2028" spans="2:21" ht="17.399999999999999" thickTop="1" thickBot="1">
      <c r="B2028" s="216">
        <v>202.19999999999899</v>
      </c>
      <c r="T2028" s="270">
        <v>19.239999999999998</v>
      </c>
      <c r="U2028" s="270">
        <v>1.51</v>
      </c>
    </row>
    <row r="2029" spans="2:21" ht="17.399999999999999" thickTop="1" thickBot="1">
      <c r="B2029" s="103">
        <v>202.29999999999899</v>
      </c>
      <c r="T2029" s="270">
        <v>19.25</v>
      </c>
      <c r="U2029" s="270">
        <v>1.51</v>
      </c>
    </row>
    <row r="2030" spans="2:21" ht="17.399999999999999" thickTop="1" thickBot="1">
      <c r="B2030" s="216">
        <v>202.39999999999901</v>
      </c>
      <c r="T2030" s="270">
        <v>19.27</v>
      </c>
      <c r="U2030" s="270">
        <v>1.52</v>
      </c>
    </row>
    <row r="2031" spans="2:21" ht="17.399999999999999" thickTop="1" thickBot="1">
      <c r="B2031" s="103">
        <v>202.49999999999901</v>
      </c>
      <c r="T2031" s="270">
        <v>19.29</v>
      </c>
      <c r="U2031" s="270">
        <v>1.52</v>
      </c>
    </row>
    <row r="2032" spans="2:21" ht="17.399999999999999" thickTop="1" thickBot="1">
      <c r="B2032" s="216">
        <v>202.599999999999</v>
      </c>
      <c r="T2032" s="270">
        <v>19.309999999999999</v>
      </c>
      <c r="U2032" s="270">
        <v>1.52</v>
      </c>
    </row>
    <row r="2033" spans="2:21" ht="17.399999999999999" thickTop="1" thickBot="1">
      <c r="B2033" s="103">
        <v>202.69999999999899</v>
      </c>
      <c r="T2033" s="270">
        <v>19.329999999999998</v>
      </c>
      <c r="U2033" s="270">
        <v>1.52</v>
      </c>
    </row>
    <row r="2034" spans="2:21" ht="17.399999999999999" thickTop="1" thickBot="1">
      <c r="B2034" s="216">
        <v>202.79999999999899</v>
      </c>
      <c r="T2034" s="270">
        <v>19.350000000000001</v>
      </c>
      <c r="U2034" s="270">
        <v>1.52</v>
      </c>
    </row>
    <row r="2035" spans="2:21" ht="17.399999999999999" thickTop="1" thickBot="1">
      <c r="B2035" s="103">
        <v>202.89999999999901</v>
      </c>
      <c r="T2035" s="270">
        <v>19.37</v>
      </c>
      <c r="U2035" s="270">
        <v>1.52</v>
      </c>
    </row>
    <row r="2036" spans="2:21" ht="17.399999999999999" thickTop="1" thickBot="1">
      <c r="B2036" s="216">
        <v>202.99999999999901</v>
      </c>
      <c r="T2036" s="270">
        <v>19.39</v>
      </c>
      <c r="U2036" s="270">
        <v>1.52</v>
      </c>
    </row>
    <row r="2037" spans="2:21" ht="17.399999999999999" thickTop="1" thickBot="1">
      <c r="B2037" s="103">
        <v>203.099999999999</v>
      </c>
      <c r="T2037" s="270">
        <v>19.41</v>
      </c>
      <c r="U2037" s="270">
        <v>1.53</v>
      </c>
    </row>
    <row r="2038" spans="2:21" ht="17.399999999999999" thickTop="1" thickBot="1">
      <c r="B2038" s="216">
        <v>203.19999999999899</v>
      </c>
      <c r="T2038" s="270">
        <v>19.43</v>
      </c>
      <c r="U2038" s="270">
        <v>1.53</v>
      </c>
    </row>
    <row r="2039" spans="2:21" ht="17.399999999999999" thickTop="1" thickBot="1">
      <c r="B2039" s="103">
        <v>203.29999999999899</v>
      </c>
      <c r="T2039" s="270">
        <v>19.45</v>
      </c>
      <c r="U2039" s="270">
        <v>1.53</v>
      </c>
    </row>
    <row r="2040" spans="2:21" ht="17.399999999999999" thickTop="1" thickBot="1">
      <c r="B2040" s="216">
        <v>203.39999999999901</v>
      </c>
      <c r="T2040" s="270">
        <v>19.46</v>
      </c>
      <c r="U2040" s="270">
        <v>1.53</v>
      </c>
    </row>
    <row r="2041" spans="2:21" ht="17.399999999999999" thickTop="1" thickBot="1">
      <c r="B2041" s="103">
        <v>203.49999999999901</v>
      </c>
      <c r="T2041" s="270">
        <v>19.48</v>
      </c>
      <c r="U2041" s="270">
        <v>1.53</v>
      </c>
    </row>
    <row r="2042" spans="2:21" ht="17.399999999999999" thickTop="1" thickBot="1">
      <c r="B2042" s="216">
        <v>203.599999999999</v>
      </c>
      <c r="T2042" s="270">
        <v>19.5</v>
      </c>
      <c r="U2042" s="270">
        <v>1.53</v>
      </c>
    </row>
    <row r="2043" spans="2:21" ht="17.399999999999999" thickTop="1" thickBot="1">
      <c r="B2043" s="103">
        <v>203.69999999999899</v>
      </c>
      <c r="T2043" s="270">
        <v>19.52</v>
      </c>
      <c r="U2043" s="270">
        <v>1.54</v>
      </c>
    </row>
    <row r="2044" spans="2:21" ht="17.399999999999999" thickTop="1" thickBot="1">
      <c r="B2044" s="216">
        <v>203.79999999999899</v>
      </c>
      <c r="T2044" s="270">
        <v>19.54</v>
      </c>
      <c r="U2044" s="270">
        <v>1.54</v>
      </c>
    </row>
    <row r="2045" spans="2:21" ht="17.399999999999999" thickTop="1" thickBot="1">
      <c r="B2045" s="103">
        <v>203.89999999999901</v>
      </c>
      <c r="T2045" s="270">
        <v>19.559999999999999</v>
      </c>
      <c r="U2045" s="270">
        <v>1.54</v>
      </c>
    </row>
    <row r="2046" spans="2:21" ht="17.399999999999999" thickTop="1" thickBot="1">
      <c r="B2046" s="216">
        <v>203.99999999999901</v>
      </c>
      <c r="T2046" s="270">
        <v>19.579999999999998</v>
      </c>
      <c r="U2046" s="270">
        <v>1.54</v>
      </c>
    </row>
    <row r="2047" spans="2:21" ht="17.399999999999999" thickTop="1" thickBot="1">
      <c r="B2047" s="103">
        <v>204.099999999999</v>
      </c>
      <c r="T2047" s="270">
        <v>19.600000000000001</v>
      </c>
      <c r="U2047" s="270">
        <v>1.54</v>
      </c>
    </row>
    <row r="2048" spans="2:21" ht="17.399999999999999" thickTop="1" thickBot="1">
      <c r="B2048" s="216">
        <v>204.19999999999899</v>
      </c>
      <c r="T2048" s="270">
        <v>19.62</v>
      </c>
      <c r="U2048" s="270">
        <v>1.54</v>
      </c>
    </row>
    <row r="2049" spans="2:21" ht="17.399999999999999" thickTop="1" thickBot="1">
      <c r="B2049" s="103">
        <v>204.29999999999899</v>
      </c>
      <c r="T2049" s="270">
        <v>19.64</v>
      </c>
      <c r="U2049" s="270">
        <v>1.54</v>
      </c>
    </row>
    <row r="2050" spans="2:21" ht="17.399999999999999" thickTop="1" thickBot="1">
      <c r="B2050" s="216">
        <v>204.39999999999901</v>
      </c>
      <c r="T2050" s="270">
        <v>19.66</v>
      </c>
      <c r="U2050" s="270">
        <v>1.55</v>
      </c>
    </row>
    <row r="2051" spans="2:21" ht="17.399999999999999" thickTop="1" thickBot="1">
      <c r="B2051" s="103">
        <v>204.49999999999901</v>
      </c>
      <c r="T2051" s="270">
        <v>19.68</v>
      </c>
      <c r="U2051" s="270">
        <v>1.55</v>
      </c>
    </row>
    <row r="2052" spans="2:21" ht="17.399999999999999" thickTop="1" thickBot="1">
      <c r="B2052" s="216">
        <v>204.599999999999</v>
      </c>
      <c r="T2052" s="270">
        <v>19.690000000000001</v>
      </c>
      <c r="U2052" s="270">
        <v>1.55</v>
      </c>
    </row>
    <row r="2053" spans="2:21" ht="17.399999999999999" thickTop="1" thickBot="1">
      <c r="B2053" s="103">
        <v>204.69999999999899</v>
      </c>
      <c r="T2053" s="270">
        <v>19.71</v>
      </c>
      <c r="U2053" s="270">
        <v>1.55</v>
      </c>
    </row>
    <row r="2054" spans="2:21" ht="17.399999999999999" thickTop="1" thickBot="1">
      <c r="B2054" s="216">
        <v>204.79999999999899</v>
      </c>
      <c r="T2054" s="270">
        <v>19.73</v>
      </c>
      <c r="U2054" s="270">
        <v>1.55</v>
      </c>
    </row>
    <row r="2055" spans="2:21" ht="17.399999999999999" thickTop="1" thickBot="1">
      <c r="B2055" s="103">
        <v>204.89999999999901</v>
      </c>
      <c r="T2055" s="270">
        <v>19.75</v>
      </c>
      <c r="U2055" s="270">
        <v>1.55</v>
      </c>
    </row>
    <row r="2056" spans="2:21" ht="17.399999999999999" thickTop="1" thickBot="1">
      <c r="B2056" s="216">
        <v>204.99999999999901</v>
      </c>
      <c r="T2056" s="270">
        <v>19.77</v>
      </c>
      <c r="U2056" s="270">
        <v>1.56</v>
      </c>
    </row>
    <row r="2057" spans="2:21" ht="17.399999999999999" thickTop="1" thickBot="1">
      <c r="B2057" s="103">
        <v>205.099999999999</v>
      </c>
      <c r="T2057" s="270">
        <v>19.79</v>
      </c>
      <c r="U2057" s="270">
        <v>1.56</v>
      </c>
    </row>
    <row r="2058" spans="2:21" ht="17.399999999999999" thickTop="1" thickBot="1">
      <c r="B2058" s="216">
        <v>205.19999999999899</v>
      </c>
      <c r="T2058" s="270">
        <v>19.809999999999999</v>
      </c>
      <c r="U2058" s="270">
        <v>1.56</v>
      </c>
    </row>
    <row r="2059" spans="2:21" ht="17.399999999999999" thickTop="1" thickBot="1">
      <c r="B2059" s="103">
        <v>205.29999999999899</v>
      </c>
      <c r="T2059" s="270">
        <v>19.829999999999998</v>
      </c>
      <c r="U2059" s="270">
        <v>1.56</v>
      </c>
    </row>
    <row r="2060" spans="2:21" ht="17.399999999999999" thickTop="1" thickBot="1">
      <c r="B2060" s="216">
        <v>205.39999999999901</v>
      </c>
      <c r="T2060" s="270">
        <v>19.850000000000001</v>
      </c>
      <c r="U2060" s="270">
        <v>1.56</v>
      </c>
    </row>
    <row r="2061" spans="2:21" ht="17.399999999999999" thickTop="1" thickBot="1">
      <c r="B2061" s="103">
        <v>205.49999999999901</v>
      </c>
      <c r="T2061" s="270">
        <v>19.87</v>
      </c>
      <c r="U2061" s="270">
        <v>1.56</v>
      </c>
    </row>
    <row r="2062" spans="2:21" ht="17.399999999999999" thickTop="1" thickBot="1">
      <c r="B2062" s="216">
        <v>205.599999999999</v>
      </c>
      <c r="T2062" s="270">
        <v>19.89</v>
      </c>
      <c r="U2062" s="270">
        <v>1.56</v>
      </c>
    </row>
    <row r="2063" spans="2:21" ht="17.399999999999999" thickTop="1" thickBot="1">
      <c r="B2063" s="103">
        <v>205.69999999999899</v>
      </c>
      <c r="T2063" s="270">
        <v>19.91</v>
      </c>
      <c r="U2063" s="270">
        <v>1.57</v>
      </c>
    </row>
    <row r="2064" spans="2:21" ht="17.399999999999999" thickTop="1" thickBot="1">
      <c r="B2064" s="216">
        <v>205.79999999999899</v>
      </c>
      <c r="T2064" s="270">
        <v>19.93</v>
      </c>
      <c r="U2064" s="270">
        <v>1.57</v>
      </c>
    </row>
    <row r="2065" spans="2:21" ht="17.399999999999999" thickTop="1" thickBot="1">
      <c r="B2065" s="103">
        <v>205.89999999999901</v>
      </c>
      <c r="T2065" s="270">
        <v>19.95</v>
      </c>
      <c r="U2065" s="270">
        <v>1.57</v>
      </c>
    </row>
    <row r="2066" spans="2:21" ht="17.399999999999999" thickTop="1" thickBot="1">
      <c r="B2066" s="216">
        <v>205.99999999999901</v>
      </c>
      <c r="T2066" s="270">
        <v>19.96</v>
      </c>
      <c r="U2066" s="270">
        <v>1.57</v>
      </c>
    </row>
    <row r="2067" spans="2:21" ht="17.399999999999999" thickTop="1" thickBot="1">
      <c r="B2067" s="103">
        <v>206.099999999999</v>
      </c>
      <c r="T2067" s="270">
        <v>19.98</v>
      </c>
      <c r="U2067" s="270">
        <v>1.57</v>
      </c>
    </row>
    <row r="2068" spans="2:21" ht="17.399999999999999" thickTop="1" thickBot="1">
      <c r="B2068" s="216">
        <v>206.19999999999899</v>
      </c>
      <c r="T2068" s="270">
        <v>20</v>
      </c>
      <c r="U2068" s="270">
        <v>1.57</v>
      </c>
    </row>
    <row r="2069" spans="2:21" ht="17.399999999999999" thickTop="1" thickBot="1">
      <c r="B2069" s="103">
        <v>206.29999999999899</v>
      </c>
      <c r="T2069" s="270">
        <v>20.02</v>
      </c>
      <c r="U2069" s="270">
        <v>1.57</v>
      </c>
    </row>
    <row r="2070" spans="2:21" ht="17.399999999999999" thickTop="1" thickBot="1">
      <c r="B2070" s="216">
        <v>206.39999999999901</v>
      </c>
      <c r="T2070" s="270">
        <v>20.04</v>
      </c>
      <c r="U2070" s="270">
        <v>1.58</v>
      </c>
    </row>
    <row r="2071" spans="2:21" ht="17.399999999999999" thickTop="1" thickBot="1">
      <c r="B2071" s="103">
        <v>206.49999999999901</v>
      </c>
      <c r="T2071" s="270">
        <v>20.059999999999999</v>
      </c>
      <c r="U2071" s="270">
        <v>1.58</v>
      </c>
    </row>
    <row r="2072" spans="2:21" ht="17.399999999999999" thickTop="1" thickBot="1">
      <c r="B2072" s="216">
        <v>206.599999999999</v>
      </c>
      <c r="T2072" s="270">
        <v>20.079999999999998</v>
      </c>
      <c r="U2072" s="270">
        <v>1.58</v>
      </c>
    </row>
    <row r="2073" spans="2:21" ht="17.399999999999999" thickTop="1" thickBot="1">
      <c r="B2073" s="103">
        <v>206.69999999999899</v>
      </c>
      <c r="T2073" s="270">
        <v>20.100000000000001</v>
      </c>
      <c r="U2073" s="270">
        <v>1.58</v>
      </c>
    </row>
    <row r="2074" spans="2:21" ht="17.399999999999999" thickTop="1" thickBot="1">
      <c r="B2074" s="216">
        <v>206.79999999999899</v>
      </c>
      <c r="T2074" s="270">
        <v>20.12</v>
      </c>
      <c r="U2074" s="270">
        <v>1.58</v>
      </c>
    </row>
    <row r="2075" spans="2:21" ht="17.399999999999999" thickTop="1" thickBot="1">
      <c r="B2075" s="103">
        <v>206.89999999999901</v>
      </c>
      <c r="T2075" s="270">
        <v>20.14</v>
      </c>
      <c r="U2075" s="270">
        <v>1.58</v>
      </c>
    </row>
    <row r="2076" spans="2:21" ht="17.399999999999999" thickTop="1" thickBot="1">
      <c r="B2076" s="216">
        <v>206.99999999999901</v>
      </c>
      <c r="T2076" s="270">
        <v>20.16</v>
      </c>
      <c r="U2076" s="270">
        <v>1.59</v>
      </c>
    </row>
    <row r="2077" spans="2:21" ht="17.399999999999999" thickTop="1" thickBot="1">
      <c r="B2077" s="103">
        <v>207.099999999999</v>
      </c>
      <c r="T2077" s="270">
        <v>20.18</v>
      </c>
      <c r="U2077" s="270">
        <v>1.59</v>
      </c>
    </row>
    <row r="2078" spans="2:21" ht="17.399999999999999" thickTop="1" thickBot="1">
      <c r="B2078" s="216">
        <v>207.19999999999899</v>
      </c>
      <c r="T2078" s="270">
        <v>20.2</v>
      </c>
      <c r="U2078" s="270">
        <v>1.59</v>
      </c>
    </row>
    <row r="2079" spans="2:21" ht="17.399999999999999" thickTop="1" thickBot="1">
      <c r="B2079" s="103">
        <v>207.29999999999899</v>
      </c>
      <c r="T2079" s="270">
        <v>20.22</v>
      </c>
      <c r="U2079" s="270">
        <v>1.59</v>
      </c>
    </row>
    <row r="2080" spans="2:21" ht="17.399999999999999" thickTop="1" thickBot="1">
      <c r="B2080" s="216">
        <v>207.39999999999901</v>
      </c>
      <c r="T2080" s="270">
        <v>20.239999999999998</v>
      </c>
      <c r="U2080" s="270">
        <v>1.59</v>
      </c>
    </row>
    <row r="2081" spans="2:21" ht="17.399999999999999" thickTop="1" thickBot="1">
      <c r="B2081" s="103">
        <v>207.49999999999901</v>
      </c>
      <c r="T2081" s="270">
        <v>20.260000000000002</v>
      </c>
      <c r="U2081" s="270">
        <v>1.59</v>
      </c>
    </row>
    <row r="2082" spans="2:21" ht="17.399999999999999" thickTop="1" thickBot="1">
      <c r="B2082" s="216">
        <v>207.599999999999</v>
      </c>
      <c r="T2082" s="270">
        <v>20.28</v>
      </c>
      <c r="U2082" s="270">
        <v>1.59</v>
      </c>
    </row>
    <row r="2083" spans="2:21" ht="17.399999999999999" thickTop="1" thickBot="1">
      <c r="B2083" s="103">
        <v>207.69999999999899</v>
      </c>
      <c r="T2083" s="270">
        <v>20.3</v>
      </c>
      <c r="U2083" s="270">
        <v>1.6</v>
      </c>
    </row>
    <row r="2084" spans="2:21" ht="17.399999999999999" thickTop="1" thickBot="1">
      <c r="B2084" s="216">
        <v>207.79999999999899</v>
      </c>
      <c r="T2084" s="270">
        <v>20.32</v>
      </c>
      <c r="U2084" s="270">
        <v>1.6</v>
      </c>
    </row>
    <row r="2085" spans="2:21" ht="17.399999999999999" thickTop="1" thickBot="1">
      <c r="B2085" s="103">
        <v>207.89999999999901</v>
      </c>
      <c r="T2085" s="270">
        <v>20.329999999999998</v>
      </c>
      <c r="U2085" s="270">
        <v>1.6</v>
      </c>
    </row>
    <row r="2086" spans="2:21" ht="17.399999999999999" thickTop="1" thickBot="1">
      <c r="B2086" s="216">
        <v>207.99999999999901</v>
      </c>
      <c r="T2086" s="270">
        <v>20.350000000000001</v>
      </c>
      <c r="U2086" s="270">
        <v>1.6</v>
      </c>
    </row>
    <row r="2087" spans="2:21" ht="17.399999999999999" thickTop="1" thickBot="1">
      <c r="B2087" s="103">
        <v>208.099999999999</v>
      </c>
      <c r="T2087" s="270">
        <v>20.37</v>
      </c>
      <c r="U2087" s="270">
        <v>1.6</v>
      </c>
    </row>
    <row r="2088" spans="2:21" ht="17.399999999999999" thickTop="1" thickBot="1">
      <c r="B2088" s="216">
        <v>208.19999999999899</v>
      </c>
      <c r="T2088" s="270">
        <v>20.39</v>
      </c>
      <c r="U2088" s="270">
        <v>1.6</v>
      </c>
    </row>
    <row r="2089" spans="2:21" ht="17.399999999999999" thickTop="1" thickBot="1">
      <c r="B2089" s="103">
        <v>208.29999999999899</v>
      </c>
      <c r="T2089" s="270">
        <v>20.41</v>
      </c>
      <c r="U2089" s="270">
        <v>1.61</v>
      </c>
    </row>
    <row r="2090" spans="2:21" ht="17.399999999999999" thickTop="1" thickBot="1">
      <c r="B2090" s="216">
        <v>208.39999999999901</v>
      </c>
      <c r="T2090" s="270">
        <v>20.43</v>
      </c>
      <c r="U2090" s="270">
        <v>1.61</v>
      </c>
    </row>
    <row r="2091" spans="2:21" ht="17.399999999999999" thickTop="1" thickBot="1">
      <c r="B2091" s="103">
        <v>208.49999999999901</v>
      </c>
      <c r="T2091" s="270">
        <v>20.45</v>
      </c>
      <c r="U2091" s="270">
        <v>1.61</v>
      </c>
    </row>
    <row r="2092" spans="2:21" ht="17.399999999999999" thickTop="1" thickBot="1">
      <c r="B2092" s="216">
        <v>208.599999999999</v>
      </c>
      <c r="T2092" s="270">
        <v>20.47</v>
      </c>
      <c r="U2092" s="270">
        <v>1.61</v>
      </c>
    </row>
    <row r="2093" spans="2:21" ht="17.399999999999999" thickTop="1" thickBot="1">
      <c r="B2093" s="103">
        <v>208.69999999999899</v>
      </c>
      <c r="T2093" s="270">
        <v>20.49</v>
      </c>
      <c r="U2093" s="270">
        <v>1.61</v>
      </c>
    </row>
    <row r="2094" spans="2:21" ht="17.399999999999999" thickTop="1" thickBot="1">
      <c r="B2094" s="216">
        <v>208.79999999999899</v>
      </c>
      <c r="T2094" s="270">
        <v>20.51</v>
      </c>
      <c r="U2094" s="270">
        <v>1.61</v>
      </c>
    </row>
    <row r="2095" spans="2:21" ht="17.399999999999999" thickTop="1" thickBot="1">
      <c r="B2095" s="103">
        <v>208.89999999999901</v>
      </c>
      <c r="T2095" s="270">
        <v>20.53</v>
      </c>
      <c r="U2095" s="270">
        <v>1.61</v>
      </c>
    </row>
    <row r="2096" spans="2:21" ht="17.399999999999999" thickTop="1" thickBot="1">
      <c r="B2096" s="216">
        <v>208.99999999999901</v>
      </c>
      <c r="T2096" s="270">
        <v>20.55</v>
      </c>
      <c r="U2096" s="270">
        <v>1.62</v>
      </c>
    </row>
    <row r="2097" spans="2:21" ht="17.399999999999999" thickTop="1" thickBot="1">
      <c r="B2097" s="103">
        <v>209.099999999999</v>
      </c>
      <c r="T2097" s="270">
        <v>20.57</v>
      </c>
      <c r="U2097" s="270">
        <v>1.62</v>
      </c>
    </row>
    <row r="2098" spans="2:21" ht="17.399999999999999" thickTop="1" thickBot="1">
      <c r="B2098" s="216">
        <v>209.19999999999899</v>
      </c>
      <c r="T2098" s="270">
        <v>20.59</v>
      </c>
      <c r="U2098" s="270">
        <v>1.62</v>
      </c>
    </row>
    <row r="2099" spans="2:21" ht="17.399999999999999" thickTop="1" thickBot="1">
      <c r="B2099" s="103">
        <v>209.29999999999899</v>
      </c>
      <c r="T2099" s="270">
        <v>20.61</v>
      </c>
      <c r="U2099" s="270">
        <v>1.62</v>
      </c>
    </row>
    <row r="2100" spans="2:21" ht="17.399999999999999" thickTop="1" thickBot="1">
      <c r="B2100" s="216">
        <v>209.39999999999901</v>
      </c>
      <c r="T2100" s="270">
        <v>20.63</v>
      </c>
      <c r="U2100" s="270">
        <v>1.62</v>
      </c>
    </row>
    <row r="2101" spans="2:21" ht="17.399999999999999" thickTop="1" thickBot="1">
      <c r="B2101" s="103">
        <v>209.49999999999901</v>
      </c>
      <c r="T2101" s="270">
        <v>20.65</v>
      </c>
      <c r="U2101" s="270">
        <v>1.62</v>
      </c>
    </row>
    <row r="2102" spans="2:21" ht="17.399999999999999" thickTop="1" thickBot="1">
      <c r="B2102" s="216">
        <v>209.599999999999</v>
      </c>
      <c r="T2102" s="270">
        <v>20.67</v>
      </c>
      <c r="U2102" s="270">
        <v>1.63</v>
      </c>
    </row>
    <row r="2103" spans="2:21" ht="17.399999999999999" thickTop="1" thickBot="1">
      <c r="B2103" s="103">
        <v>209.69999999999899</v>
      </c>
      <c r="T2103" s="270">
        <v>20.69</v>
      </c>
      <c r="U2103" s="270">
        <v>1.63</v>
      </c>
    </row>
    <row r="2104" spans="2:21" ht="17.399999999999999" thickTop="1" thickBot="1">
      <c r="B2104" s="216">
        <v>209.79999999999899</v>
      </c>
      <c r="T2104" s="270">
        <v>20.71</v>
      </c>
      <c r="U2104" s="270">
        <v>1.63</v>
      </c>
    </row>
    <row r="2105" spans="2:21" ht="17.399999999999999" thickTop="1" thickBot="1">
      <c r="B2105" s="103">
        <v>209.89999999999901</v>
      </c>
      <c r="T2105" s="270">
        <v>20.73</v>
      </c>
      <c r="U2105" s="270">
        <v>1.63</v>
      </c>
    </row>
    <row r="2106" spans="2:21" ht="17.399999999999999" thickTop="1" thickBot="1">
      <c r="B2106" s="216">
        <v>209.99999999999901</v>
      </c>
      <c r="T2106" s="270">
        <v>20.75</v>
      </c>
      <c r="U2106" s="270">
        <v>1.63</v>
      </c>
    </row>
    <row r="2107" spans="2:21" ht="17.399999999999999" thickTop="1" thickBot="1">
      <c r="B2107" s="103">
        <v>210.099999999999</v>
      </c>
      <c r="T2107" s="270">
        <v>20.77</v>
      </c>
      <c r="U2107" s="270">
        <v>1.63</v>
      </c>
    </row>
    <row r="2108" spans="2:21" ht="17.399999999999999" thickTop="1" thickBot="1">
      <c r="B2108" s="216">
        <v>210.19999999999899</v>
      </c>
      <c r="T2108" s="270">
        <v>20.79</v>
      </c>
      <c r="U2108" s="270">
        <v>1.63</v>
      </c>
    </row>
    <row r="2109" spans="2:21" ht="17.399999999999999" thickTop="1" thickBot="1">
      <c r="B2109" s="103">
        <v>210.29999999999899</v>
      </c>
      <c r="T2109" s="270">
        <v>20.81</v>
      </c>
      <c r="U2109" s="270">
        <v>1.64</v>
      </c>
    </row>
    <row r="2110" spans="2:21" ht="17.399999999999999" thickTop="1" thickBot="1">
      <c r="B2110" s="216">
        <v>210.39999999999901</v>
      </c>
      <c r="T2110" s="270">
        <v>20.83</v>
      </c>
      <c r="U2110" s="270">
        <v>1.64</v>
      </c>
    </row>
    <row r="2111" spans="2:21" ht="17.399999999999999" thickTop="1" thickBot="1">
      <c r="B2111" s="103">
        <v>210.49999999999901</v>
      </c>
      <c r="T2111" s="270">
        <v>20.85</v>
      </c>
      <c r="U2111" s="270">
        <v>1.64</v>
      </c>
    </row>
    <row r="2112" spans="2:21" ht="17.399999999999999" thickTop="1" thickBot="1">
      <c r="B2112" s="216">
        <v>210.599999999999</v>
      </c>
      <c r="T2112" s="270">
        <v>20.87</v>
      </c>
      <c r="U2112" s="270">
        <v>1.64</v>
      </c>
    </row>
    <row r="2113" spans="2:21" ht="17.399999999999999" thickTop="1" thickBot="1">
      <c r="B2113" s="103">
        <v>210.69999999999899</v>
      </c>
      <c r="T2113" s="270">
        <v>20.89</v>
      </c>
      <c r="U2113" s="270">
        <v>1.64</v>
      </c>
    </row>
    <row r="2114" spans="2:21" ht="17.399999999999999" thickTop="1" thickBot="1">
      <c r="B2114" s="216">
        <v>210.79999999999899</v>
      </c>
      <c r="T2114" s="270">
        <v>20.91</v>
      </c>
      <c r="U2114" s="270">
        <v>1.64</v>
      </c>
    </row>
    <row r="2115" spans="2:21" ht="17.399999999999999" thickTop="1" thickBot="1">
      <c r="B2115" s="103">
        <v>210.89999999999901</v>
      </c>
      <c r="T2115" s="270">
        <v>20.93</v>
      </c>
      <c r="U2115" s="270">
        <v>1.65</v>
      </c>
    </row>
    <row r="2116" spans="2:21" ht="17.399999999999999" thickTop="1" thickBot="1">
      <c r="B2116" s="216">
        <v>210.99999999999901</v>
      </c>
      <c r="T2116" s="270">
        <v>20.95</v>
      </c>
      <c r="U2116" s="270">
        <v>1.65</v>
      </c>
    </row>
    <row r="2117" spans="2:21" ht="17.399999999999999" thickTop="1" thickBot="1">
      <c r="B2117" s="103">
        <v>211.099999999999</v>
      </c>
      <c r="T2117" s="270">
        <v>20.97</v>
      </c>
      <c r="U2117" s="270">
        <v>1.65</v>
      </c>
    </row>
    <row r="2118" spans="2:21" ht="17.399999999999999" thickTop="1" thickBot="1">
      <c r="B2118" s="216">
        <v>211.19999999999899</v>
      </c>
      <c r="T2118" s="270">
        <v>20.99</v>
      </c>
      <c r="U2118" s="270">
        <v>1.65</v>
      </c>
    </row>
    <row r="2119" spans="2:21" ht="17.399999999999999" thickTop="1" thickBot="1">
      <c r="B2119" s="103">
        <v>211.29999999999899</v>
      </c>
      <c r="T2119" s="270">
        <v>21.01</v>
      </c>
      <c r="U2119" s="270">
        <v>1.65</v>
      </c>
    </row>
    <row r="2120" spans="2:21" ht="17.399999999999999" thickTop="1" thickBot="1">
      <c r="B2120" s="216">
        <v>211.39999999999901</v>
      </c>
      <c r="T2120" s="270">
        <v>21.03</v>
      </c>
      <c r="U2120" s="270">
        <v>1.65</v>
      </c>
    </row>
    <row r="2121" spans="2:21" ht="17.399999999999999" thickTop="1" thickBot="1">
      <c r="B2121" s="103">
        <v>211.49999999999901</v>
      </c>
      <c r="T2121" s="270">
        <v>21.05</v>
      </c>
      <c r="U2121" s="270">
        <v>1.66</v>
      </c>
    </row>
    <row r="2122" spans="2:21" ht="17.399999999999999" thickTop="1" thickBot="1">
      <c r="B2122" s="216">
        <v>211.599999999999</v>
      </c>
      <c r="T2122" s="270">
        <v>21.07</v>
      </c>
      <c r="U2122" s="270">
        <v>1.66</v>
      </c>
    </row>
    <row r="2123" spans="2:21" ht="17.399999999999999" thickTop="1" thickBot="1">
      <c r="B2123" s="103">
        <v>211.69999999999899</v>
      </c>
      <c r="T2123" s="270">
        <v>21.09</v>
      </c>
      <c r="U2123" s="270">
        <v>1.66</v>
      </c>
    </row>
    <row r="2124" spans="2:21" ht="17.399999999999999" thickTop="1" thickBot="1">
      <c r="B2124" s="216">
        <v>211.79999999999899</v>
      </c>
      <c r="T2124" s="270">
        <v>21.11</v>
      </c>
      <c r="U2124" s="270">
        <v>1.66</v>
      </c>
    </row>
    <row r="2125" spans="2:21" ht="17.399999999999999" thickTop="1" thickBot="1">
      <c r="B2125" s="103">
        <v>211.89999999999901</v>
      </c>
      <c r="T2125" s="270">
        <v>21.12</v>
      </c>
      <c r="U2125" s="270">
        <v>1.66</v>
      </c>
    </row>
    <row r="2126" spans="2:21" ht="17.399999999999999" thickTop="1" thickBot="1">
      <c r="B2126" s="216">
        <v>211.99999999999901</v>
      </c>
      <c r="T2126" s="270">
        <v>21.14</v>
      </c>
      <c r="U2126" s="270">
        <v>1.66</v>
      </c>
    </row>
    <row r="2127" spans="2:21" ht="17.399999999999999" thickTop="1" thickBot="1">
      <c r="B2127" s="103">
        <v>212.099999999999</v>
      </c>
      <c r="T2127" s="270">
        <v>21.16</v>
      </c>
      <c r="U2127" s="270">
        <v>1.66</v>
      </c>
    </row>
    <row r="2128" spans="2:21" ht="17.399999999999999" thickTop="1" thickBot="1">
      <c r="B2128" s="216">
        <v>212.19999999999899</v>
      </c>
      <c r="T2128" s="270">
        <v>21.18</v>
      </c>
      <c r="U2128" s="270">
        <v>1.67</v>
      </c>
    </row>
    <row r="2129" spans="2:21" ht="17.399999999999999" thickTop="1" thickBot="1">
      <c r="B2129" s="103">
        <v>212.29999999999899</v>
      </c>
      <c r="T2129" s="270">
        <v>21.2</v>
      </c>
      <c r="U2129" s="270">
        <v>1.67</v>
      </c>
    </row>
    <row r="2130" spans="2:21" ht="17.399999999999999" thickTop="1" thickBot="1">
      <c r="B2130" s="216">
        <v>212.39999999999901</v>
      </c>
      <c r="T2130" s="270">
        <v>21.22</v>
      </c>
      <c r="U2130" s="270">
        <v>1.67</v>
      </c>
    </row>
    <row r="2131" spans="2:21" ht="17.399999999999999" thickTop="1" thickBot="1">
      <c r="B2131" s="103">
        <v>212.49999999999901</v>
      </c>
      <c r="T2131" s="270">
        <v>21.24</v>
      </c>
      <c r="U2131" s="270">
        <v>1.67</v>
      </c>
    </row>
    <row r="2132" spans="2:21" ht="17.399999999999999" thickTop="1" thickBot="1">
      <c r="B2132" s="216">
        <v>212.599999999999</v>
      </c>
      <c r="T2132" s="270">
        <v>21.26</v>
      </c>
      <c r="U2132" s="270">
        <v>1.67</v>
      </c>
    </row>
    <row r="2133" spans="2:21" ht="17.399999999999999" thickTop="1" thickBot="1">
      <c r="B2133" s="103">
        <v>212.69999999999899</v>
      </c>
      <c r="T2133" s="270">
        <v>21.28</v>
      </c>
      <c r="U2133" s="270">
        <v>1.67</v>
      </c>
    </row>
    <row r="2134" spans="2:21" ht="17.399999999999999" thickTop="1" thickBot="1">
      <c r="B2134" s="216">
        <v>212.79999999999899</v>
      </c>
      <c r="T2134" s="270">
        <v>21.3</v>
      </c>
      <c r="U2134" s="270">
        <v>1.68</v>
      </c>
    </row>
    <row r="2135" spans="2:21" ht="17.399999999999999" thickTop="1" thickBot="1">
      <c r="B2135" s="103">
        <v>212.89999999999901</v>
      </c>
      <c r="T2135" s="270">
        <v>21.32</v>
      </c>
      <c r="U2135" s="270">
        <v>1.68</v>
      </c>
    </row>
    <row r="2136" spans="2:21" ht="17.399999999999999" thickTop="1" thickBot="1">
      <c r="B2136" s="216">
        <v>212.99999999999901</v>
      </c>
      <c r="T2136" s="270">
        <v>21.34</v>
      </c>
      <c r="U2136" s="270">
        <v>1.68</v>
      </c>
    </row>
    <row r="2137" spans="2:21" ht="17.399999999999999" thickTop="1" thickBot="1">
      <c r="B2137" s="103">
        <v>213.099999999999</v>
      </c>
      <c r="T2137" s="270">
        <v>21.36</v>
      </c>
      <c r="U2137" s="270">
        <v>1.68</v>
      </c>
    </row>
    <row r="2138" spans="2:21" ht="17.399999999999999" thickTop="1" thickBot="1">
      <c r="B2138" s="216">
        <v>213.19999999999899</v>
      </c>
      <c r="T2138" s="270">
        <v>21.38</v>
      </c>
      <c r="U2138" s="270">
        <v>1.68</v>
      </c>
    </row>
    <row r="2139" spans="2:21" ht="17.399999999999999" thickTop="1" thickBot="1">
      <c r="B2139" s="103">
        <v>213.29999999999899</v>
      </c>
      <c r="T2139" s="270">
        <v>21.41</v>
      </c>
      <c r="U2139" s="270">
        <v>1.68</v>
      </c>
    </row>
    <row r="2140" spans="2:21" ht="17.399999999999999" thickTop="1" thickBot="1">
      <c r="B2140" s="216">
        <v>213.39999999999901</v>
      </c>
      <c r="T2140" s="270">
        <v>21.43</v>
      </c>
      <c r="U2140" s="270">
        <v>1.69</v>
      </c>
    </row>
    <row r="2141" spans="2:21" ht="17.399999999999999" thickTop="1" thickBot="1">
      <c r="B2141" s="103">
        <v>213.49999999999901</v>
      </c>
      <c r="T2141" s="270">
        <v>21.45</v>
      </c>
      <c r="U2141" s="270">
        <v>1.69</v>
      </c>
    </row>
    <row r="2142" spans="2:21" ht="17.399999999999999" thickTop="1" thickBot="1">
      <c r="B2142" s="216">
        <v>213.599999999999</v>
      </c>
      <c r="T2142" s="270">
        <v>21.47</v>
      </c>
      <c r="U2142" s="270">
        <v>1.69</v>
      </c>
    </row>
    <row r="2143" spans="2:21" ht="17.399999999999999" thickTop="1" thickBot="1">
      <c r="B2143" s="103">
        <v>213.69999999999899</v>
      </c>
      <c r="T2143" s="270">
        <v>21.49</v>
      </c>
      <c r="U2143" s="270">
        <v>1.69</v>
      </c>
    </row>
    <row r="2144" spans="2:21" ht="17.399999999999999" thickTop="1" thickBot="1">
      <c r="B2144" s="216">
        <v>213.79999999999899</v>
      </c>
      <c r="T2144" s="270">
        <v>21.51</v>
      </c>
      <c r="U2144" s="270">
        <v>1.69</v>
      </c>
    </row>
    <row r="2145" spans="2:21" ht="17.399999999999999" thickTop="1" thickBot="1">
      <c r="B2145" s="103">
        <v>213.89999999999901</v>
      </c>
      <c r="T2145" s="270">
        <v>21.53</v>
      </c>
      <c r="U2145" s="270">
        <v>1.69</v>
      </c>
    </row>
    <row r="2146" spans="2:21" ht="17.399999999999999" thickTop="1" thickBot="1">
      <c r="B2146" s="216">
        <v>213.99999999999901</v>
      </c>
      <c r="T2146" s="270">
        <v>21.55</v>
      </c>
      <c r="U2146" s="270">
        <v>1.69</v>
      </c>
    </row>
    <row r="2147" spans="2:21" ht="17.399999999999999" thickTop="1" thickBot="1">
      <c r="B2147" s="103">
        <v>214.099999999999</v>
      </c>
      <c r="T2147" s="270">
        <v>21.57</v>
      </c>
      <c r="U2147" s="270">
        <v>1.7</v>
      </c>
    </row>
    <row r="2148" spans="2:21" ht="17.399999999999999" thickTop="1" thickBot="1">
      <c r="B2148" s="216">
        <v>214.19999999999899</v>
      </c>
      <c r="T2148" s="270">
        <v>21.59</v>
      </c>
      <c r="U2148" s="270">
        <v>1.7</v>
      </c>
    </row>
    <row r="2149" spans="2:21" ht="17.399999999999999" thickTop="1" thickBot="1">
      <c r="B2149" s="103">
        <v>214.29999999999899</v>
      </c>
      <c r="T2149" s="270">
        <v>21.61</v>
      </c>
      <c r="U2149" s="270">
        <v>1.7</v>
      </c>
    </row>
    <row r="2150" spans="2:21" ht="17.399999999999999" thickTop="1" thickBot="1">
      <c r="B2150" s="216">
        <v>214.39999999999901</v>
      </c>
      <c r="T2150" s="270">
        <v>21.63</v>
      </c>
      <c r="U2150" s="270">
        <v>1.7</v>
      </c>
    </row>
    <row r="2151" spans="2:21" ht="17.399999999999999" thickTop="1" thickBot="1">
      <c r="B2151" s="103">
        <v>214.49999999999901</v>
      </c>
      <c r="T2151" s="270">
        <v>21.65</v>
      </c>
      <c r="U2151" s="270">
        <v>1.7</v>
      </c>
    </row>
    <row r="2152" spans="2:21" ht="17.399999999999999" thickTop="1" thickBot="1">
      <c r="B2152" s="216">
        <v>214.599999999999</v>
      </c>
      <c r="T2152" s="270">
        <v>21.67</v>
      </c>
      <c r="U2152" s="270">
        <v>1.7</v>
      </c>
    </row>
    <row r="2153" spans="2:21" ht="17.399999999999999" thickTop="1" thickBot="1">
      <c r="B2153" s="103">
        <v>214.69999999999899</v>
      </c>
      <c r="T2153" s="270">
        <v>21.69</v>
      </c>
      <c r="U2153" s="270">
        <v>1.71</v>
      </c>
    </row>
    <row r="2154" spans="2:21" ht="17.399999999999999" thickTop="1" thickBot="1">
      <c r="B2154" s="216">
        <v>214.79999999999899</v>
      </c>
      <c r="T2154" s="270">
        <v>21.71</v>
      </c>
      <c r="U2154" s="270">
        <v>1.71</v>
      </c>
    </row>
    <row r="2155" spans="2:21" ht="17.399999999999999" thickTop="1" thickBot="1">
      <c r="B2155" s="103">
        <v>214.89999999999901</v>
      </c>
      <c r="T2155" s="270">
        <v>21.73</v>
      </c>
      <c r="U2155" s="270">
        <v>1.71</v>
      </c>
    </row>
    <row r="2156" spans="2:21" ht="17.399999999999999" thickTop="1" thickBot="1">
      <c r="B2156" s="216">
        <v>214.99999999999901</v>
      </c>
      <c r="T2156" s="270">
        <v>21.75</v>
      </c>
      <c r="U2156" s="270">
        <v>1.71</v>
      </c>
    </row>
    <row r="2157" spans="2:21" ht="17.399999999999999" thickTop="1" thickBot="1">
      <c r="B2157" s="103">
        <v>215.099999999999</v>
      </c>
      <c r="T2157" s="270">
        <v>21.77</v>
      </c>
      <c r="U2157" s="270">
        <v>1.71</v>
      </c>
    </row>
    <row r="2158" spans="2:21" ht="17.399999999999999" thickTop="1" thickBot="1">
      <c r="B2158" s="216">
        <v>215.19999999999899</v>
      </c>
      <c r="T2158" s="270">
        <v>21.79</v>
      </c>
      <c r="U2158" s="270">
        <v>1.71</v>
      </c>
    </row>
    <row r="2159" spans="2:21" ht="17.399999999999999" thickTop="1" thickBot="1">
      <c r="B2159" s="103">
        <v>215.29999999999899</v>
      </c>
      <c r="T2159" s="270">
        <v>21.81</v>
      </c>
      <c r="U2159" s="270">
        <v>1.72</v>
      </c>
    </row>
    <row r="2160" spans="2:21" ht="17.399999999999999" thickTop="1" thickBot="1">
      <c r="B2160" s="216">
        <v>215.39999999999901</v>
      </c>
      <c r="T2160" s="270">
        <v>21.83</v>
      </c>
      <c r="U2160" s="270">
        <v>1.72</v>
      </c>
    </row>
    <row r="2161" spans="2:21" ht="17.399999999999999" thickTop="1" thickBot="1">
      <c r="B2161" s="103">
        <v>215.49999999999901</v>
      </c>
      <c r="T2161" s="270">
        <v>21.85</v>
      </c>
      <c r="U2161" s="270">
        <v>1.72</v>
      </c>
    </row>
    <row r="2162" spans="2:21" ht="17.399999999999999" thickTop="1" thickBot="1">
      <c r="B2162" s="216">
        <v>215.599999999999</v>
      </c>
      <c r="T2162" s="270">
        <v>21.87</v>
      </c>
      <c r="U2162" s="270">
        <v>1.72</v>
      </c>
    </row>
    <row r="2163" spans="2:21" ht="17.399999999999999" thickTop="1" thickBot="1">
      <c r="B2163" s="103">
        <v>215.69999999999899</v>
      </c>
      <c r="T2163" s="270">
        <v>21.89</v>
      </c>
      <c r="U2163" s="270">
        <v>1.72</v>
      </c>
    </row>
    <row r="2164" spans="2:21" ht="17.399999999999999" thickTop="1" thickBot="1">
      <c r="B2164" s="216">
        <v>215.79999999999899</v>
      </c>
      <c r="T2164" s="270">
        <v>21.91</v>
      </c>
      <c r="U2164" s="270">
        <v>1.72</v>
      </c>
    </row>
    <row r="2165" spans="2:21" ht="17.399999999999999" thickTop="1" thickBot="1">
      <c r="B2165" s="103">
        <v>215.89999999999901</v>
      </c>
      <c r="T2165" s="270">
        <v>21.93</v>
      </c>
      <c r="U2165" s="270">
        <v>1.72</v>
      </c>
    </row>
    <row r="2166" spans="2:21" ht="17.399999999999999" thickTop="1" thickBot="1">
      <c r="B2166" s="216">
        <v>215.99999999999901</v>
      </c>
      <c r="T2166" s="270">
        <v>21.95</v>
      </c>
      <c r="U2166" s="270">
        <v>1.73</v>
      </c>
    </row>
    <row r="2167" spans="2:21" ht="17.399999999999999" thickTop="1" thickBot="1">
      <c r="B2167" s="103">
        <v>216.099999999999</v>
      </c>
      <c r="T2167" s="270">
        <v>21.97</v>
      </c>
      <c r="U2167" s="270">
        <v>1.73</v>
      </c>
    </row>
    <row r="2168" spans="2:21" ht="17.399999999999999" thickTop="1" thickBot="1">
      <c r="B2168" s="216">
        <v>216.19999999999899</v>
      </c>
      <c r="T2168" s="270">
        <v>21.99</v>
      </c>
      <c r="U2168" s="270">
        <v>1.73</v>
      </c>
    </row>
    <row r="2169" spans="2:21" ht="17.399999999999999" thickTop="1" thickBot="1">
      <c r="B2169" s="103">
        <v>216.29999999999899</v>
      </c>
      <c r="T2169" s="270">
        <v>22.01</v>
      </c>
      <c r="U2169" s="270">
        <v>1.73</v>
      </c>
    </row>
    <row r="2170" spans="2:21" ht="17.399999999999999" thickTop="1" thickBot="1">
      <c r="B2170" s="216">
        <v>216.39999999999901</v>
      </c>
      <c r="T2170" s="270">
        <v>22.03</v>
      </c>
      <c r="U2170" s="270">
        <v>1.73</v>
      </c>
    </row>
    <row r="2171" spans="2:21" ht="17.399999999999999" thickTop="1" thickBot="1">
      <c r="B2171" s="103">
        <v>216.49999999999901</v>
      </c>
      <c r="T2171" s="270">
        <v>22.05</v>
      </c>
      <c r="U2171" s="270">
        <v>1.73</v>
      </c>
    </row>
    <row r="2172" spans="2:21" ht="17.399999999999999" thickTop="1" thickBot="1">
      <c r="B2172" s="216">
        <v>216.599999999999</v>
      </c>
      <c r="T2172" s="270">
        <v>22.07</v>
      </c>
      <c r="U2172" s="270">
        <v>1.74</v>
      </c>
    </row>
    <row r="2173" spans="2:21" ht="17.399999999999999" thickTop="1" thickBot="1">
      <c r="B2173" s="103">
        <v>216.69999999999899</v>
      </c>
      <c r="T2173" s="270">
        <v>22.09</v>
      </c>
      <c r="U2173" s="270">
        <v>1.74</v>
      </c>
    </row>
    <row r="2174" spans="2:21" ht="17.399999999999999" thickTop="1" thickBot="1">
      <c r="B2174" s="216">
        <v>216.79999999999899</v>
      </c>
      <c r="T2174" s="270">
        <v>22.11</v>
      </c>
      <c r="U2174" s="270">
        <v>1.74</v>
      </c>
    </row>
    <row r="2175" spans="2:21" ht="17.399999999999999" thickTop="1" thickBot="1">
      <c r="B2175" s="103">
        <v>216.89999999999901</v>
      </c>
      <c r="T2175" s="270">
        <v>22.13</v>
      </c>
      <c r="U2175" s="270">
        <v>1.74</v>
      </c>
    </row>
    <row r="2176" spans="2:21" ht="17.399999999999999" thickTop="1" thickBot="1">
      <c r="B2176" s="216">
        <v>216.99999999999901</v>
      </c>
      <c r="T2176" s="270">
        <v>22.15</v>
      </c>
      <c r="U2176" s="270">
        <v>1.74</v>
      </c>
    </row>
    <row r="2177" spans="2:21" ht="17.399999999999999" thickTop="1" thickBot="1">
      <c r="B2177" s="103">
        <v>217.099999999999</v>
      </c>
      <c r="T2177" s="270">
        <v>22.17</v>
      </c>
      <c r="U2177" s="270">
        <v>1.74</v>
      </c>
    </row>
    <row r="2178" spans="2:21" ht="17.399999999999999" thickTop="1" thickBot="1">
      <c r="B2178" s="216">
        <v>217.19999999999899</v>
      </c>
      <c r="T2178" s="270">
        <v>22.19</v>
      </c>
      <c r="U2178" s="270">
        <v>1.75</v>
      </c>
    </row>
    <row r="2179" spans="2:21" ht="17.399999999999999" thickTop="1" thickBot="1">
      <c r="B2179" s="103">
        <v>217.29999999999899</v>
      </c>
      <c r="T2179" s="270">
        <v>22.22</v>
      </c>
      <c r="U2179" s="270">
        <v>1.75</v>
      </c>
    </row>
    <row r="2180" spans="2:21" ht="17.399999999999999" thickTop="1" thickBot="1">
      <c r="B2180" s="216">
        <v>217.39999999999901</v>
      </c>
      <c r="T2180" s="270">
        <v>22.24</v>
      </c>
      <c r="U2180" s="270">
        <v>1.75</v>
      </c>
    </row>
    <row r="2181" spans="2:21" ht="17.399999999999999" thickTop="1" thickBot="1">
      <c r="B2181" s="103">
        <v>217.49999999999901</v>
      </c>
      <c r="T2181" s="270">
        <v>22.26</v>
      </c>
      <c r="U2181" s="270">
        <v>1.75</v>
      </c>
    </row>
    <row r="2182" spans="2:21" ht="17.399999999999999" thickTop="1" thickBot="1">
      <c r="B2182" s="216">
        <v>217.599999999999</v>
      </c>
      <c r="T2182" s="270">
        <v>22.28</v>
      </c>
      <c r="U2182" s="270">
        <v>1.75</v>
      </c>
    </row>
    <row r="2183" spans="2:21" ht="17.399999999999999" thickTop="1" thickBot="1">
      <c r="B2183" s="103">
        <v>217.69999999999899</v>
      </c>
      <c r="T2183" s="270">
        <v>22.3</v>
      </c>
      <c r="U2183" s="270">
        <v>1.75</v>
      </c>
    </row>
    <row r="2184" spans="2:21" ht="17.399999999999999" thickTop="1" thickBot="1">
      <c r="B2184" s="216">
        <v>217.79999999999899</v>
      </c>
      <c r="T2184" s="270">
        <v>22.32</v>
      </c>
      <c r="U2184" s="270">
        <v>1.76</v>
      </c>
    </row>
    <row r="2185" spans="2:21" ht="17.399999999999999" thickTop="1" thickBot="1">
      <c r="B2185" s="103">
        <v>217.89999999999901</v>
      </c>
      <c r="T2185" s="270">
        <v>22.34</v>
      </c>
      <c r="U2185" s="270">
        <v>1.76</v>
      </c>
    </row>
    <row r="2186" spans="2:21" ht="17.399999999999999" thickTop="1" thickBot="1">
      <c r="B2186" s="216">
        <v>217.99999999999901</v>
      </c>
      <c r="T2186" s="270">
        <v>22.36</v>
      </c>
      <c r="U2186" s="270">
        <v>1.76</v>
      </c>
    </row>
    <row r="2187" spans="2:21" ht="17.399999999999999" thickTop="1" thickBot="1">
      <c r="B2187" s="103">
        <v>218.099999999999</v>
      </c>
      <c r="T2187" s="270">
        <v>22.38</v>
      </c>
      <c r="U2187" s="270">
        <v>1.76</v>
      </c>
    </row>
    <row r="2188" spans="2:21" ht="17.399999999999999" thickTop="1" thickBot="1">
      <c r="B2188" s="216">
        <v>218.19999999999899</v>
      </c>
      <c r="T2188" s="270">
        <v>22.4</v>
      </c>
      <c r="U2188" s="270">
        <v>1.76</v>
      </c>
    </row>
    <row r="2189" spans="2:21" ht="17.399999999999999" thickTop="1" thickBot="1">
      <c r="B2189" s="103">
        <v>218.29999999999899</v>
      </c>
      <c r="T2189" s="270">
        <v>22.42</v>
      </c>
      <c r="U2189" s="270">
        <v>1.76</v>
      </c>
    </row>
    <row r="2190" spans="2:21" ht="17.399999999999999" thickTop="1" thickBot="1">
      <c r="B2190" s="216">
        <v>218.39999999999901</v>
      </c>
      <c r="T2190" s="270">
        <v>22.44</v>
      </c>
      <c r="U2190" s="270">
        <v>1.77</v>
      </c>
    </row>
    <row r="2191" spans="2:21" ht="17.399999999999999" thickTop="1" thickBot="1">
      <c r="B2191" s="103">
        <v>218.49999999999901</v>
      </c>
      <c r="T2191" s="270">
        <v>22.46</v>
      </c>
      <c r="U2191" s="270">
        <v>1.77</v>
      </c>
    </row>
    <row r="2192" spans="2:21" ht="17.399999999999999" thickTop="1" thickBot="1">
      <c r="B2192" s="216">
        <v>218.599999999999</v>
      </c>
      <c r="T2192" s="270">
        <v>22.48</v>
      </c>
      <c r="U2192" s="270">
        <v>1.77</v>
      </c>
    </row>
    <row r="2193" spans="2:21" ht="17.399999999999999" thickTop="1" thickBot="1">
      <c r="B2193" s="103">
        <v>218.69999999999899</v>
      </c>
      <c r="T2193" s="270">
        <v>22.5</v>
      </c>
      <c r="U2193" s="270">
        <v>1.77</v>
      </c>
    </row>
    <row r="2194" spans="2:21" ht="17.399999999999999" thickTop="1" thickBot="1">
      <c r="B2194" s="216">
        <v>218.79999999999899</v>
      </c>
      <c r="T2194" s="270">
        <v>22.52</v>
      </c>
      <c r="U2194" s="270">
        <v>1.77</v>
      </c>
    </row>
    <row r="2195" spans="2:21" ht="17.399999999999999" thickTop="1" thickBot="1">
      <c r="B2195" s="103">
        <v>218.89999999999901</v>
      </c>
      <c r="T2195" s="270">
        <v>22.54</v>
      </c>
      <c r="U2195" s="270">
        <v>1.77</v>
      </c>
    </row>
    <row r="2196" spans="2:21" ht="17.399999999999999" thickTop="1" thickBot="1">
      <c r="B2196" s="216">
        <v>218.99999999999901</v>
      </c>
      <c r="T2196" s="270">
        <v>22.56</v>
      </c>
      <c r="U2196" s="270">
        <v>1.77</v>
      </c>
    </row>
    <row r="2197" spans="2:21" ht="17.399999999999999" thickTop="1" thickBot="1">
      <c r="B2197" s="103">
        <v>219.099999999999</v>
      </c>
      <c r="T2197" s="270">
        <v>22.58</v>
      </c>
      <c r="U2197" s="270">
        <v>1.78</v>
      </c>
    </row>
    <row r="2198" spans="2:21" ht="17.399999999999999" thickTop="1" thickBot="1">
      <c r="B2198" s="216">
        <v>219.19999999999899</v>
      </c>
      <c r="T2198" s="270">
        <v>22.61</v>
      </c>
      <c r="U2198" s="270">
        <v>1.78</v>
      </c>
    </row>
    <row r="2199" spans="2:21" ht="17.399999999999999" thickTop="1" thickBot="1">
      <c r="B2199" s="103">
        <v>219.29999999999899</v>
      </c>
      <c r="T2199" s="270">
        <v>22.63</v>
      </c>
      <c r="U2199" s="270">
        <v>1.78</v>
      </c>
    </row>
    <row r="2200" spans="2:21" ht="17.399999999999999" thickTop="1" thickBot="1">
      <c r="B2200" s="216">
        <v>219.39999999999901</v>
      </c>
      <c r="T2200" s="270">
        <v>22.65</v>
      </c>
      <c r="U2200" s="270">
        <v>1.78</v>
      </c>
    </row>
    <row r="2201" spans="2:21" ht="17.399999999999999" thickTop="1" thickBot="1">
      <c r="B2201" s="103">
        <v>219.49999999999901</v>
      </c>
      <c r="T2201" s="270">
        <v>22.67</v>
      </c>
      <c r="U2201" s="270">
        <v>1.78</v>
      </c>
    </row>
    <row r="2202" spans="2:21" ht="17.399999999999999" thickTop="1" thickBot="1">
      <c r="B2202" s="216">
        <v>219.599999999999</v>
      </c>
      <c r="T2202" s="270">
        <v>22.69</v>
      </c>
      <c r="U2202" s="270">
        <v>1.78</v>
      </c>
    </row>
    <row r="2203" spans="2:21" ht="17.399999999999999" thickTop="1" thickBot="1">
      <c r="B2203" s="103">
        <v>219.69999999999899</v>
      </c>
      <c r="T2203" s="270">
        <v>22.71</v>
      </c>
      <c r="U2203" s="270">
        <v>1.79</v>
      </c>
    </row>
    <row r="2204" spans="2:21" ht="17.399999999999999" thickTop="1" thickBot="1">
      <c r="B2204" s="216">
        <v>219.79999999999899</v>
      </c>
      <c r="T2204" s="270">
        <v>22.73</v>
      </c>
      <c r="U2204" s="270">
        <v>1.79</v>
      </c>
    </row>
    <row r="2205" spans="2:21" ht="17.399999999999999" thickTop="1" thickBot="1">
      <c r="B2205" s="103">
        <v>219.89999999999901</v>
      </c>
      <c r="T2205" s="270">
        <v>22.75</v>
      </c>
      <c r="U2205" s="270">
        <v>1.79</v>
      </c>
    </row>
    <row r="2206" spans="2:21" ht="17.399999999999999" thickTop="1" thickBot="1">
      <c r="B2206" s="216">
        <v>219.99999999999901</v>
      </c>
      <c r="T2206" s="270">
        <v>22.77</v>
      </c>
      <c r="U2206" s="270">
        <v>1.79</v>
      </c>
    </row>
    <row r="2207" spans="2:21" ht="17.399999999999999" thickTop="1" thickBot="1">
      <c r="B2207" s="103">
        <v>220.099999999999</v>
      </c>
      <c r="T2207" s="270">
        <v>22.79</v>
      </c>
      <c r="U2207" s="270">
        <v>1.79</v>
      </c>
    </row>
    <row r="2208" spans="2:21" ht="17.399999999999999" thickTop="1" thickBot="1">
      <c r="B2208" s="216">
        <v>220.19999999999899</v>
      </c>
      <c r="T2208" s="270">
        <v>22.81</v>
      </c>
      <c r="U2208" s="270">
        <v>1.79</v>
      </c>
    </row>
    <row r="2209" spans="2:21" ht="17.399999999999999" thickTop="1" thickBot="1">
      <c r="B2209" s="103">
        <v>220.29999999999899</v>
      </c>
      <c r="T2209" s="270">
        <v>22.83</v>
      </c>
      <c r="U2209" s="270">
        <v>1.8</v>
      </c>
    </row>
    <row r="2210" spans="2:21" ht="17.399999999999999" thickTop="1" thickBot="1">
      <c r="B2210" s="216">
        <v>220.39999999999901</v>
      </c>
      <c r="T2210" s="270">
        <v>22.85</v>
      </c>
      <c r="U2210" s="270">
        <v>1.8</v>
      </c>
    </row>
    <row r="2211" spans="2:21" ht="17.399999999999999" thickTop="1" thickBot="1">
      <c r="B2211" s="103">
        <v>220.49999999999901</v>
      </c>
      <c r="T2211" s="270">
        <v>22.87</v>
      </c>
      <c r="U2211" s="270">
        <v>1.8</v>
      </c>
    </row>
    <row r="2212" spans="2:21" ht="17.399999999999999" thickTop="1" thickBot="1">
      <c r="B2212" s="216">
        <v>220.599999999999</v>
      </c>
      <c r="T2212" s="270">
        <v>22.9</v>
      </c>
      <c r="U2212" s="270">
        <v>1.8</v>
      </c>
    </row>
    <row r="2213" spans="2:21" ht="17.399999999999999" thickTop="1" thickBot="1">
      <c r="B2213" s="103">
        <v>220.69999999999899</v>
      </c>
      <c r="T2213" s="270">
        <v>22.92</v>
      </c>
      <c r="U2213" s="270">
        <v>1.8</v>
      </c>
    </row>
    <row r="2214" spans="2:21" ht="17.399999999999999" thickTop="1" thickBot="1">
      <c r="B2214" s="216">
        <v>220.79999999999899</v>
      </c>
      <c r="T2214" s="270">
        <v>22.94</v>
      </c>
      <c r="U2214" s="270">
        <v>1.8</v>
      </c>
    </row>
    <row r="2215" spans="2:21" ht="17.399999999999999" thickTop="1" thickBot="1">
      <c r="B2215" s="103">
        <v>220.89999999999901</v>
      </c>
      <c r="T2215" s="270">
        <v>22.96</v>
      </c>
      <c r="U2215" s="270">
        <v>1.81</v>
      </c>
    </row>
    <row r="2216" spans="2:21" ht="17.399999999999999" thickTop="1" thickBot="1">
      <c r="B2216" s="216">
        <v>220.99999999999901</v>
      </c>
      <c r="T2216" s="270">
        <v>22.98</v>
      </c>
      <c r="U2216" s="270">
        <v>1.81</v>
      </c>
    </row>
    <row r="2217" spans="2:21" ht="17.399999999999999" thickTop="1" thickBot="1">
      <c r="B2217" s="103">
        <v>221.099999999999</v>
      </c>
      <c r="T2217" s="270">
        <v>23</v>
      </c>
      <c r="U2217" s="270">
        <v>1.81</v>
      </c>
    </row>
    <row r="2218" spans="2:21" ht="17.399999999999999" thickTop="1" thickBot="1">
      <c r="B2218" s="216">
        <v>221.19999999999899</v>
      </c>
      <c r="T2218" s="270">
        <v>23.02</v>
      </c>
      <c r="U2218" s="270">
        <v>1.81</v>
      </c>
    </row>
    <row r="2219" spans="2:21" ht="17.399999999999999" thickTop="1" thickBot="1">
      <c r="B2219" s="103">
        <v>221.29999999999899</v>
      </c>
      <c r="T2219" s="270">
        <v>23.04</v>
      </c>
      <c r="U2219" s="270">
        <v>1.81</v>
      </c>
    </row>
    <row r="2220" spans="2:21" ht="17.399999999999999" thickTop="1" thickBot="1">
      <c r="B2220" s="216">
        <v>221.39999999999901</v>
      </c>
      <c r="T2220" s="270">
        <v>23.06</v>
      </c>
      <c r="U2220" s="270">
        <v>1.81</v>
      </c>
    </row>
    <row r="2221" spans="2:21" ht="17.399999999999999" thickTop="1" thickBot="1">
      <c r="B2221" s="103">
        <v>221.49999999999901</v>
      </c>
      <c r="T2221" s="270">
        <v>23.08</v>
      </c>
      <c r="U2221" s="270">
        <v>1.82</v>
      </c>
    </row>
    <row r="2222" spans="2:21" ht="17.399999999999999" thickTop="1" thickBot="1">
      <c r="B2222" s="216">
        <v>221.599999999999</v>
      </c>
      <c r="T2222" s="270">
        <v>23.1</v>
      </c>
      <c r="U2222" s="270">
        <v>1.82</v>
      </c>
    </row>
    <row r="2223" spans="2:21" ht="17.399999999999999" thickTop="1" thickBot="1">
      <c r="B2223" s="103">
        <v>221.69999999999899</v>
      </c>
      <c r="T2223" s="270">
        <v>23.12</v>
      </c>
      <c r="U2223" s="270">
        <v>1.82</v>
      </c>
    </row>
    <row r="2224" spans="2:21" ht="17.399999999999999" thickTop="1" thickBot="1">
      <c r="B2224" s="216">
        <v>221.79999999999899</v>
      </c>
      <c r="T2224" s="270">
        <v>23.14</v>
      </c>
      <c r="U2224" s="270">
        <v>1.82</v>
      </c>
    </row>
    <row r="2225" spans="2:21" ht="17.399999999999999" thickTop="1" thickBot="1">
      <c r="B2225" s="103">
        <v>221.89999999999901</v>
      </c>
      <c r="T2225" s="270">
        <v>23.17</v>
      </c>
      <c r="U2225" s="270">
        <v>1.82</v>
      </c>
    </row>
    <row r="2226" spans="2:21" ht="17.399999999999999" thickTop="1" thickBot="1">
      <c r="B2226" s="216">
        <v>221.99999999999901</v>
      </c>
      <c r="T2226" s="270">
        <v>23.19</v>
      </c>
      <c r="U2226" s="270">
        <v>1.82</v>
      </c>
    </row>
    <row r="2227" spans="2:21" ht="17.399999999999999" thickTop="1" thickBot="1">
      <c r="B2227" s="103">
        <v>222.099999999999</v>
      </c>
      <c r="T2227" s="270">
        <v>23.21</v>
      </c>
      <c r="U2227" s="270">
        <v>1.83</v>
      </c>
    </row>
    <row r="2228" spans="2:21" ht="17.399999999999999" thickTop="1" thickBot="1">
      <c r="B2228" s="216">
        <v>222.19999999999899</v>
      </c>
      <c r="T2228" s="270">
        <v>23.23</v>
      </c>
      <c r="U2228" s="270">
        <v>1.83</v>
      </c>
    </row>
    <row r="2229" spans="2:21" ht="17.399999999999999" thickTop="1" thickBot="1">
      <c r="B2229" s="103">
        <v>222.29999999999899</v>
      </c>
      <c r="T2229" s="270">
        <v>23.25</v>
      </c>
      <c r="U2229" s="270">
        <v>1.83</v>
      </c>
    </row>
    <row r="2230" spans="2:21" ht="17.399999999999999" thickTop="1" thickBot="1">
      <c r="B2230" s="216">
        <v>222.39999999999901</v>
      </c>
      <c r="T2230" s="270">
        <v>23.27</v>
      </c>
      <c r="U2230" s="270">
        <v>1.83</v>
      </c>
    </row>
    <row r="2231" spans="2:21" ht="17.399999999999999" thickTop="1" thickBot="1">
      <c r="B2231" s="103">
        <v>222.49999999999901</v>
      </c>
      <c r="T2231" s="270">
        <v>23.29</v>
      </c>
      <c r="U2231" s="270">
        <v>1.83</v>
      </c>
    </row>
    <row r="2232" spans="2:21" ht="17.399999999999999" thickTop="1" thickBot="1">
      <c r="B2232" s="216">
        <v>222.599999999999</v>
      </c>
      <c r="T2232" s="270">
        <v>23.31</v>
      </c>
      <c r="U2232" s="270">
        <v>1.83</v>
      </c>
    </row>
    <row r="2233" spans="2:21" ht="17.399999999999999" thickTop="1" thickBot="1">
      <c r="B2233" s="103">
        <v>222.69999999999899</v>
      </c>
      <c r="T2233" s="270">
        <v>23.33</v>
      </c>
      <c r="U2233" s="270">
        <v>1.84</v>
      </c>
    </row>
    <row r="2234" spans="2:21" ht="17.399999999999999" thickTop="1" thickBot="1">
      <c r="B2234" s="216">
        <v>222.79999999999899</v>
      </c>
      <c r="T2234" s="270">
        <v>23.35</v>
      </c>
      <c r="U2234" s="270">
        <v>1.84</v>
      </c>
    </row>
    <row r="2235" spans="2:21" ht="17.399999999999999" thickTop="1" thickBot="1">
      <c r="B2235" s="103">
        <v>222.89999999999901</v>
      </c>
      <c r="T2235" s="270">
        <v>23.38</v>
      </c>
      <c r="U2235" s="270">
        <v>1.84</v>
      </c>
    </row>
    <row r="2236" spans="2:21" ht="17.399999999999999" thickTop="1" thickBot="1">
      <c r="B2236" s="216">
        <v>222.99999999999901</v>
      </c>
      <c r="T2236" s="270">
        <v>23.4</v>
      </c>
      <c r="U2236" s="270">
        <v>1.84</v>
      </c>
    </row>
    <row r="2237" spans="2:21" ht="17.399999999999999" thickTop="1" thickBot="1">
      <c r="B2237" s="103">
        <v>223.099999999999</v>
      </c>
      <c r="T2237" s="270">
        <v>23.42</v>
      </c>
      <c r="U2237" s="270">
        <v>1.84</v>
      </c>
    </row>
    <row r="2238" spans="2:21" ht="17.399999999999999" thickTop="1" thickBot="1">
      <c r="B2238" s="216">
        <v>223.19999999999899</v>
      </c>
      <c r="T2238" s="270">
        <v>23.44</v>
      </c>
      <c r="U2238" s="270">
        <v>1.84</v>
      </c>
    </row>
    <row r="2239" spans="2:21" ht="17.399999999999999" thickTop="1" thickBot="1">
      <c r="B2239" s="103">
        <v>223.29999999999899</v>
      </c>
      <c r="T2239" s="270">
        <v>23.46</v>
      </c>
      <c r="U2239" s="270">
        <v>1.85</v>
      </c>
    </row>
    <row r="2240" spans="2:21" ht="17.399999999999999" thickTop="1" thickBot="1">
      <c r="B2240" s="216">
        <v>223.39999999999901</v>
      </c>
      <c r="T2240" s="270">
        <v>23.48</v>
      </c>
      <c r="U2240" s="270">
        <v>1.85</v>
      </c>
    </row>
    <row r="2241" spans="2:21" ht="17.399999999999999" thickTop="1" thickBot="1">
      <c r="B2241" s="103">
        <v>223.49999999999901</v>
      </c>
      <c r="T2241" s="270">
        <v>23.5</v>
      </c>
      <c r="U2241" s="270">
        <v>1.85</v>
      </c>
    </row>
    <row r="2242" spans="2:21" ht="17.399999999999999" thickTop="1" thickBot="1">
      <c r="B2242" s="216">
        <v>223.599999999999</v>
      </c>
      <c r="T2242" s="270">
        <v>23.52</v>
      </c>
      <c r="U2242" s="270">
        <v>1.85</v>
      </c>
    </row>
    <row r="2243" spans="2:21" ht="17.399999999999999" thickTop="1" thickBot="1">
      <c r="B2243" s="103">
        <v>223.69999999999899</v>
      </c>
      <c r="T2243" s="270">
        <v>23.54</v>
      </c>
      <c r="U2243" s="270">
        <v>1.85</v>
      </c>
    </row>
    <row r="2244" spans="2:21" ht="17.399999999999999" thickTop="1" thickBot="1">
      <c r="B2244" s="216">
        <v>223.79999999999899</v>
      </c>
      <c r="T2244" s="270">
        <v>23.56</v>
      </c>
      <c r="U2244" s="270">
        <v>1.85</v>
      </c>
    </row>
    <row r="2245" spans="2:21" ht="17.399999999999999" thickTop="1" thickBot="1">
      <c r="B2245" s="103">
        <v>223.89999999999901</v>
      </c>
      <c r="T2245" s="270">
        <v>23.59</v>
      </c>
      <c r="U2245" s="270">
        <v>1.86</v>
      </c>
    </row>
    <row r="2246" spans="2:21" ht="17.399999999999999" thickTop="1" thickBot="1">
      <c r="B2246" s="216">
        <v>223.99999999999901</v>
      </c>
      <c r="T2246" s="270">
        <v>23.61</v>
      </c>
      <c r="U2246" s="270">
        <v>1.86</v>
      </c>
    </row>
    <row r="2247" spans="2:21" ht="17.399999999999999" thickTop="1" thickBot="1">
      <c r="B2247" s="103">
        <v>224.099999999999</v>
      </c>
      <c r="T2247" s="270">
        <v>23.63</v>
      </c>
      <c r="U2247" s="270">
        <v>1.86</v>
      </c>
    </row>
    <row r="2248" spans="2:21" ht="17.399999999999999" thickTop="1" thickBot="1">
      <c r="B2248" s="216">
        <v>224.19999999999899</v>
      </c>
      <c r="T2248" s="270">
        <v>23.65</v>
      </c>
      <c r="U2248" s="270">
        <v>1.86</v>
      </c>
    </row>
    <row r="2249" spans="2:21" ht="17.399999999999999" thickTop="1" thickBot="1">
      <c r="B2249" s="103">
        <v>224.29999999999899</v>
      </c>
      <c r="T2249" s="270">
        <v>23.67</v>
      </c>
      <c r="U2249" s="270">
        <v>1.86</v>
      </c>
    </row>
    <row r="2250" spans="2:21" ht="17.399999999999999" thickTop="1" thickBot="1">
      <c r="B2250" s="216">
        <v>224.39999999999901</v>
      </c>
      <c r="T2250" s="270">
        <v>23.69</v>
      </c>
      <c r="U2250" s="270">
        <v>1.86</v>
      </c>
    </row>
    <row r="2251" spans="2:21" ht="17.399999999999999" thickTop="1" thickBot="1">
      <c r="B2251" s="103">
        <v>224.49999999999901</v>
      </c>
      <c r="T2251" s="270">
        <v>23.71</v>
      </c>
      <c r="U2251" s="270">
        <v>1.87</v>
      </c>
    </row>
    <row r="2252" spans="2:21" ht="17.399999999999999" thickTop="1" thickBot="1">
      <c r="B2252" s="216">
        <v>224.599999999999</v>
      </c>
      <c r="T2252" s="270">
        <v>23.73</v>
      </c>
      <c r="U2252" s="270">
        <v>1.87</v>
      </c>
    </row>
    <row r="2253" spans="2:21" ht="17.399999999999999" thickTop="1" thickBot="1">
      <c r="B2253" s="103">
        <v>224.69999999999899</v>
      </c>
      <c r="T2253" s="270">
        <v>23.75</v>
      </c>
      <c r="U2253" s="270">
        <v>1.87</v>
      </c>
    </row>
    <row r="2254" spans="2:21" ht="17.399999999999999" thickTop="1" thickBot="1">
      <c r="B2254" s="216">
        <v>224.79999999999899</v>
      </c>
      <c r="T2254" s="270">
        <v>23.78</v>
      </c>
      <c r="U2254" s="270">
        <v>1.87</v>
      </c>
    </row>
    <row r="2255" spans="2:21" ht="17.399999999999999" thickTop="1" thickBot="1">
      <c r="B2255" s="103">
        <v>224.89999999999901</v>
      </c>
      <c r="T2255" s="270">
        <v>23.8</v>
      </c>
      <c r="U2255" s="270">
        <v>1.87</v>
      </c>
    </row>
    <row r="2256" spans="2:21" ht="17.399999999999999" thickTop="1" thickBot="1">
      <c r="B2256" s="216">
        <v>224.99999999999901</v>
      </c>
      <c r="T2256" s="270">
        <v>23.82</v>
      </c>
      <c r="U2256" s="270">
        <v>1.87</v>
      </c>
    </row>
    <row r="2257" spans="2:21" ht="17.399999999999999" thickTop="1" thickBot="1">
      <c r="B2257" s="103">
        <v>225.099999999999</v>
      </c>
      <c r="T2257" s="270">
        <v>23.84</v>
      </c>
      <c r="U2257" s="270">
        <v>1.87</v>
      </c>
    </row>
    <row r="2258" spans="2:21" ht="17.399999999999999" thickTop="1" thickBot="1">
      <c r="B2258" s="216">
        <v>225.19999999999899</v>
      </c>
      <c r="T2258" s="270">
        <v>23.86</v>
      </c>
      <c r="U2258" s="270">
        <v>1.88</v>
      </c>
    </row>
    <row r="2259" spans="2:21" ht="17.399999999999999" thickTop="1" thickBot="1">
      <c r="B2259" s="103">
        <v>225.29999999999899</v>
      </c>
      <c r="T2259" s="270">
        <v>23.88</v>
      </c>
      <c r="U2259" s="270">
        <v>1.88</v>
      </c>
    </row>
    <row r="2260" spans="2:21" ht="17.399999999999999" thickTop="1" thickBot="1">
      <c r="B2260" s="216">
        <v>225.39999999999901</v>
      </c>
      <c r="T2260" s="270">
        <v>23.9</v>
      </c>
      <c r="U2260" s="270">
        <v>1.88</v>
      </c>
    </row>
    <row r="2261" spans="2:21" ht="17.399999999999999" thickTop="1" thickBot="1">
      <c r="B2261" s="103">
        <v>225.49999999999901</v>
      </c>
      <c r="T2261" s="270">
        <v>23.92</v>
      </c>
      <c r="U2261" s="270">
        <v>1.88</v>
      </c>
    </row>
    <row r="2262" spans="2:21" ht="17.399999999999999" thickTop="1" thickBot="1">
      <c r="B2262" s="216">
        <v>225.599999999999</v>
      </c>
      <c r="T2262" s="270">
        <v>23.94</v>
      </c>
      <c r="U2262" s="270">
        <v>1.88</v>
      </c>
    </row>
    <row r="2263" spans="2:21" ht="17.399999999999999" thickTop="1" thickBot="1">
      <c r="B2263" s="103">
        <v>225.69999999999899</v>
      </c>
      <c r="T2263" s="270">
        <v>23.97</v>
      </c>
      <c r="U2263" s="270">
        <v>1.89</v>
      </c>
    </row>
    <row r="2264" spans="2:21" ht="17.399999999999999" thickTop="1" thickBot="1">
      <c r="B2264" s="216">
        <v>225.79999999999899</v>
      </c>
      <c r="T2264" s="270">
        <v>23.99</v>
      </c>
      <c r="U2264" s="270">
        <v>1.89</v>
      </c>
    </row>
    <row r="2265" spans="2:21" ht="17.399999999999999" thickTop="1" thickBot="1">
      <c r="B2265" s="103">
        <v>225.89999999999901</v>
      </c>
      <c r="T2265" s="270">
        <v>24.01</v>
      </c>
      <c r="U2265" s="270">
        <v>1.89</v>
      </c>
    </row>
    <row r="2266" spans="2:21" ht="17.399999999999999" thickTop="1" thickBot="1">
      <c r="B2266" s="216">
        <v>225.99999999999901</v>
      </c>
      <c r="T2266" s="270">
        <v>24.03</v>
      </c>
      <c r="U2266" s="270">
        <v>1.89</v>
      </c>
    </row>
    <row r="2267" spans="2:21" ht="17.399999999999999" thickTop="1" thickBot="1">
      <c r="B2267" s="103">
        <v>226.099999999999</v>
      </c>
      <c r="T2267" s="270">
        <v>24.05</v>
      </c>
      <c r="U2267" s="270">
        <v>1.89</v>
      </c>
    </row>
    <row r="2268" spans="2:21" ht="17.399999999999999" thickTop="1" thickBot="1">
      <c r="B2268" s="216">
        <v>226.19999999999899</v>
      </c>
      <c r="T2268" s="270">
        <v>24.07</v>
      </c>
      <c r="U2268" s="270">
        <v>1.89</v>
      </c>
    </row>
    <row r="2269" spans="2:21" ht="17.399999999999999" thickTop="1" thickBot="1">
      <c r="B2269" s="103">
        <v>226.29999999999899</v>
      </c>
      <c r="T2269" s="270">
        <v>24.09</v>
      </c>
      <c r="U2269" s="270">
        <v>1.9</v>
      </c>
    </row>
    <row r="2270" spans="2:21" ht="17.399999999999999" thickTop="1" thickBot="1">
      <c r="B2270" s="216">
        <v>226.39999999999901</v>
      </c>
      <c r="T2270" s="270">
        <v>24.11</v>
      </c>
      <c r="U2270" s="270">
        <v>1.9</v>
      </c>
    </row>
    <row r="2271" spans="2:21" ht="17.399999999999999" thickTop="1" thickBot="1">
      <c r="B2271" s="103">
        <v>226.49999999999901</v>
      </c>
      <c r="T2271" s="270">
        <v>24.14</v>
      </c>
      <c r="U2271" s="270">
        <v>1.9</v>
      </c>
    </row>
    <row r="2272" spans="2:21" ht="17.399999999999999" thickTop="1" thickBot="1">
      <c r="B2272" s="216">
        <v>226.599999999999</v>
      </c>
      <c r="T2272" s="270">
        <v>24.16</v>
      </c>
      <c r="U2272" s="270">
        <v>1.9</v>
      </c>
    </row>
    <row r="2273" spans="2:21" ht="17.399999999999999" thickTop="1" thickBot="1">
      <c r="B2273" s="103">
        <v>226.69999999999899</v>
      </c>
      <c r="T2273" s="270">
        <v>24.18</v>
      </c>
      <c r="U2273" s="270">
        <v>1.9</v>
      </c>
    </row>
    <row r="2274" spans="2:21" ht="17.399999999999999" thickTop="1" thickBot="1">
      <c r="B2274" s="216">
        <v>226.79999999999899</v>
      </c>
      <c r="T2274" s="270">
        <v>24.2</v>
      </c>
      <c r="U2274" s="270">
        <v>1.9</v>
      </c>
    </row>
    <row r="2275" spans="2:21" ht="17.399999999999999" thickTop="1" thickBot="1">
      <c r="B2275" s="103">
        <v>226.89999999999901</v>
      </c>
      <c r="T2275" s="270">
        <v>24.22</v>
      </c>
      <c r="U2275" s="270">
        <v>1.91</v>
      </c>
    </row>
    <row r="2276" spans="2:21" ht="17.399999999999999" thickTop="1" thickBot="1">
      <c r="B2276" s="216">
        <v>226.99999999999901</v>
      </c>
      <c r="T2276" s="270">
        <v>24.24</v>
      </c>
      <c r="U2276" s="270">
        <v>1.91</v>
      </c>
    </row>
    <row r="2277" spans="2:21" ht="17.399999999999999" thickTop="1" thickBot="1">
      <c r="B2277" s="103">
        <v>227.099999999999</v>
      </c>
      <c r="T2277" s="270">
        <v>24.26</v>
      </c>
      <c r="U2277" s="270">
        <v>1.91</v>
      </c>
    </row>
    <row r="2278" spans="2:21" ht="17.399999999999999" thickTop="1" thickBot="1">
      <c r="B2278" s="216">
        <v>227.19999999999899</v>
      </c>
      <c r="T2278" s="270">
        <v>24.29</v>
      </c>
      <c r="U2278" s="270">
        <v>1.91</v>
      </c>
    </row>
    <row r="2279" spans="2:21" ht="17.399999999999999" thickTop="1" thickBot="1">
      <c r="B2279" s="103">
        <v>227.29999999999899</v>
      </c>
      <c r="T2279" s="270">
        <v>24.31</v>
      </c>
      <c r="U2279" s="270">
        <v>1.91</v>
      </c>
    </row>
    <row r="2280" spans="2:21" ht="17.399999999999999" thickTop="1" thickBot="1">
      <c r="B2280" s="216">
        <v>227.39999999999901</v>
      </c>
      <c r="T2280" s="270">
        <v>24.33</v>
      </c>
      <c r="U2280" s="270">
        <v>1.91</v>
      </c>
    </row>
    <row r="2281" spans="2:21" ht="17.399999999999999" thickTop="1" thickBot="1">
      <c r="B2281" s="103">
        <v>227.49999999999901</v>
      </c>
      <c r="T2281" s="270">
        <v>24.35</v>
      </c>
      <c r="U2281" s="270">
        <v>1.92</v>
      </c>
    </row>
    <row r="2282" spans="2:21" ht="17.399999999999999" thickTop="1" thickBot="1">
      <c r="B2282" s="216">
        <v>227.599999999999</v>
      </c>
      <c r="T2282" s="270">
        <v>24.37</v>
      </c>
      <c r="U2282" s="270">
        <v>1.92</v>
      </c>
    </row>
    <row r="2283" spans="2:21" ht="17.399999999999999" thickTop="1" thickBot="1">
      <c r="B2283" s="103">
        <v>227.69999999999899</v>
      </c>
      <c r="T2283" s="270">
        <v>24.39</v>
      </c>
      <c r="U2283" s="270">
        <v>1.92</v>
      </c>
    </row>
    <row r="2284" spans="2:21" ht="17.399999999999999" thickTop="1" thickBot="1">
      <c r="B2284" s="216">
        <v>227.79999999999899</v>
      </c>
      <c r="T2284" s="270">
        <v>24.41</v>
      </c>
      <c r="U2284" s="270">
        <v>1.92</v>
      </c>
    </row>
    <row r="2285" spans="2:21" ht="17.399999999999999" thickTop="1" thickBot="1">
      <c r="B2285" s="103">
        <v>227.89999999999901</v>
      </c>
      <c r="T2285" s="270">
        <v>24.44</v>
      </c>
      <c r="U2285" s="270">
        <v>1.92</v>
      </c>
    </row>
    <row r="2286" spans="2:21" ht="17.399999999999999" thickTop="1" thickBot="1">
      <c r="B2286" s="216">
        <v>227.99999999999901</v>
      </c>
      <c r="T2286" s="270">
        <v>24.46</v>
      </c>
      <c r="U2286" s="270">
        <v>1.92</v>
      </c>
    </row>
    <row r="2287" spans="2:21" ht="17.399999999999999" thickTop="1" thickBot="1">
      <c r="B2287" s="103">
        <v>228.099999999999</v>
      </c>
      <c r="T2287" s="270">
        <v>24.48</v>
      </c>
      <c r="U2287" s="270">
        <v>1.93</v>
      </c>
    </row>
    <row r="2288" spans="2:21" ht="17.399999999999999" thickTop="1" thickBot="1">
      <c r="B2288" s="216">
        <v>228.19999999999899</v>
      </c>
      <c r="T2288" s="270">
        <v>24.5</v>
      </c>
      <c r="U2288" s="270">
        <v>1.93</v>
      </c>
    </row>
    <row r="2289" spans="2:21" ht="17.399999999999999" thickTop="1" thickBot="1">
      <c r="B2289" s="103">
        <v>228.29999999999899</v>
      </c>
      <c r="T2289" s="270">
        <v>24.52</v>
      </c>
      <c r="U2289" s="270">
        <v>1.93</v>
      </c>
    </row>
    <row r="2290" spans="2:21" ht="17.399999999999999" thickTop="1" thickBot="1">
      <c r="B2290" s="216">
        <v>228.39999999999901</v>
      </c>
      <c r="T2290" s="270">
        <v>24.54</v>
      </c>
      <c r="U2290" s="270">
        <v>1.93</v>
      </c>
    </row>
    <row r="2291" spans="2:21" ht="17.399999999999999" thickTop="1" thickBot="1">
      <c r="B2291" s="103">
        <v>228.49999999999901</v>
      </c>
      <c r="T2291" s="270">
        <v>24.56</v>
      </c>
      <c r="U2291" s="270">
        <v>1.93</v>
      </c>
    </row>
    <row r="2292" spans="2:21" ht="17.399999999999999" thickTop="1" thickBot="1">
      <c r="B2292" s="216">
        <v>228.599999999999</v>
      </c>
      <c r="T2292" s="270">
        <v>24.59</v>
      </c>
      <c r="U2292" s="270">
        <v>1.93</v>
      </c>
    </row>
    <row r="2293" spans="2:21" ht="17.399999999999999" thickTop="1" thickBot="1">
      <c r="B2293" s="103">
        <v>228.69999999999899</v>
      </c>
      <c r="T2293" s="270">
        <v>24.61</v>
      </c>
      <c r="U2293" s="270">
        <v>1.94</v>
      </c>
    </row>
    <row r="2294" spans="2:21" ht="17.399999999999999" thickTop="1" thickBot="1">
      <c r="B2294" s="216">
        <v>228.79999999999899</v>
      </c>
      <c r="T2294" s="270">
        <v>24.63</v>
      </c>
      <c r="U2294" s="270">
        <v>1.94</v>
      </c>
    </row>
    <row r="2295" spans="2:21" ht="17.399999999999999" thickTop="1" thickBot="1">
      <c r="B2295" s="103">
        <v>228.89999999999901</v>
      </c>
      <c r="T2295" s="270">
        <v>24.65</v>
      </c>
      <c r="U2295" s="270">
        <v>1.94</v>
      </c>
    </row>
    <row r="2296" spans="2:21" ht="17.399999999999999" thickTop="1" thickBot="1">
      <c r="B2296" s="216">
        <v>228.99999999999901</v>
      </c>
      <c r="T2296" s="270">
        <v>24.67</v>
      </c>
      <c r="U2296" s="270">
        <v>1.94</v>
      </c>
    </row>
    <row r="2297" spans="2:21" ht="17.399999999999999" thickTop="1" thickBot="1">
      <c r="B2297" s="103">
        <v>229.099999999999</v>
      </c>
      <c r="T2297" s="270">
        <v>24.69</v>
      </c>
      <c r="U2297" s="270">
        <v>1.94</v>
      </c>
    </row>
    <row r="2298" spans="2:21" ht="17.399999999999999" thickTop="1" thickBot="1">
      <c r="B2298" s="216">
        <v>229.19999999999899</v>
      </c>
      <c r="T2298" s="270">
        <v>24.72</v>
      </c>
      <c r="U2298" s="270">
        <v>1.94</v>
      </c>
    </row>
    <row r="2299" spans="2:21" ht="17.399999999999999" thickTop="1" thickBot="1">
      <c r="B2299" s="103">
        <v>229.29999999999899</v>
      </c>
      <c r="T2299" s="270">
        <v>24.74</v>
      </c>
      <c r="U2299" s="270">
        <v>1.95</v>
      </c>
    </row>
    <row r="2300" spans="2:21" ht="17.399999999999999" thickTop="1" thickBot="1">
      <c r="B2300" s="216">
        <v>229.39999999999901</v>
      </c>
      <c r="T2300" s="270">
        <v>24.76</v>
      </c>
      <c r="U2300" s="270">
        <v>1.95</v>
      </c>
    </row>
    <row r="2301" spans="2:21" ht="17.399999999999999" thickTop="1" thickBot="1">
      <c r="B2301" s="103">
        <v>229.49999999999901</v>
      </c>
      <c r="T2301" s="270">
        <v>24.78</v>
      </c>
      <c r="U2301" s="270">
        <v>1.95</v>
      </c>
    </row>
    <row r="2302" spans="2:21" ht="17.399999999999999" thickTop="1" thickBot="1">
      <c r="B2302" s="216">
        <v>229.599999999999</v>
      </c>
      <c r="T2302" s="270">
        <v>24.8</v>
      </c>
      <c r="U2302" s="270">
        <v>1.95</v>
      </c>
    </row>
    <row r="2303" spans="2:21" ht="17.399999999999999" thickTop="1" thickBot="1">
      <c r="B2303" s="103">
        <v>229.69999999999899</v>
      </c>
      <c r="T2303" s="270">
        <v>24.82</v>
      </c>
      <c r="U2303" s="270">
        <v>1.95</v>
      </c>
    </row>
    <row r="2304" spans="2:21" ht="17.399999999999999" thickTop="1" thickBot="1">
      <c r="B2304" s="216">
        <v>229.79999999999899</v>
      </c>
      <c r="T2304" s="270">
        <v>24.84</v>
      </c>
      <c r="U2304" s="270">
        <v>1.95</v>
      </c>
    </row>
    <row r="2305" spans="2:21" ht="17.399999999999999" thickTop="1" thickBot="1">
      <c r="B2305" s="103">
        <v>229.89999999999901</v>
      </c>
      <c r="T2305" s="270">
        <v>24.87</v>
      </c>
      <c r="U2305" s="270">
        <v>1.96</v>
      </c>
    </row>
    <row r="2306" spans="2:21" ht="17.399999999999999" thickTop="1" thickBot="1">
      <c r="B2306" s="216">
        <v>229.99999999999901</v>
      </c>
      <c r="T2306" s="270">
        <v>24.89</v>
      </c>
      <c r="U2306" s="270">
        <v>1.96</v>
      </c>
    </row>
    <row r="2307" spans="2:21" ht="17.399999999999999" thickTop="1" thickBot="1">
      <c r="B2307" s="103">
        <v>230.099999999999</v>
      </c>
      <c r="T2307" s="270">
        <v>24.91</v>
      </c>
      <c r="U2307" s="270">
        <v>1.96</v>
      </c>
    </row>
    <row r="2308" spans="2:21" ht="17.399999999999999" thickTop="1" thickBot="1">
      <c r="B2308" s="216">
        <v>230.19999999999899</v>
      </c>
      <c r="T2308" s="270">
        <v>24.93</v>
      </c>
      <c r="U2308" s="270">
        <v>1.96</v>
      </c>
    </row>
    <row r="2309" spans="2:21" ht="17.399999999999999" thickTop="1" thickBot="1">
      <c r="B2309" s="103">
        <v>230.29999999999899</v>
      </c>
      <c r="T2309" s="270">
        <v>24.95</v>
      </c>
      <c r="U2309" s="270">
        <v>1.96</v>
      </c>
    </row>
    <row r="2310" spans="2:21" ht="17.399999999999999" thickTop="1" thickBot="1">
      <c r="B2310" s="216">
        <v>230.39999999999901</v>
      </c>
      <c r="T2310" s="270">
        <v>24.97</v>
      </c>
      <c r="U2310" s="270">
        <v>1.96</v>
      </c>
    </row>
    <row r="2311" spans="2:21" ht="17.399999999999999" thickTop="1" thickBot="1">
      <c r="B2311" s="103">
        <v>230.49999999999901</v>
      </c>
      <c r="T2311" s="270">
        <v>25</v>
      </c>
      <c r="U2311" s="270">
        <v>1.97</v>
      </c>
    </row>
    <row r="2312" spans="2:21" ht="17.399999999999999" thickTop="1" thickBot="1">
      <c r="B2312" s="216">
        <v>230.599999999999</v>
      </c>
      <c r="T2312" s="270">
        <v>25.02</v>
      </c>
      <c r="U2312" s="270">
        <v>1.97</v>
      </c>
    </row>
    <row r="2313" spans="2:21" ht="17.399999999999999" thickTop="1" thickBot="1">
      <c r="B2313" s="103">
        <v>230.69999999999899</v>
      </c>
      <c r="T2313" s="270">
        <v>25.04</v>
      </c>
      <c r="U2313" s="270">
        <v>1.97</v>
      </c>
    </row>
    <row r="2314" spans="2:21" ht="17.399999999999999" thickTop="1" thickBot="1">
      <c r="B2314" s="216">
        <v>230.79999999999899</v>
      </c>
      <c r="T2314" s="270">
        <v>25.06</v>
      </c>
      <c r="U2314" s="270">
        <v>1.97</v>
      </c>
    </row>
    <row r="2315" spans="2:21" ht="17.399999999999999" thickTop="1" thickBot="1">
      <c r="B2315" s="103">
        <v>230.89999999999901</v>
      </c>
      <c r="T2315" s="270">
        <v>25.08</v>
      </c>
      <c r="U2315" s="270">
        <v>1.97</v>
      </c>
    </row>
    <row r="2316" spans="2:21" ht="17.399999999999999" thickTop="1" thickBot="1">
      <c r="B2316" s="216">
        <v>230.99999999999901</v>
      </c>
      <c r="T2316" s="270">
        <v>25.1</v>
      </c>
      <c r="U2316" s="270">
        <v>1.97</v>
      </c>
    </row>
    <row r="2317" spans="2:21" ht="17.399999999999999" thickTop="1" thickBot="1">
      <c r="B2317" s="103">
        <v>231.099999999999</v>
      </c>
      <c r="T2317" s="270">
        <v>25.13</v>
      </c>
      <c r="U2317" s="270">
        <v>1.98</v>
      </c>
    </row>
    <row r="2318" spans="2:21" ht="17.399999999999999" thickTop="1" thickBot="1">
      <c r="B2318" s="216">
        <v>231.19999999999899</v>
      </c>
      <c r="T2318" s="270">
        <v>25.15</v>
      </c>
      <c r="U2318" s="270">
        <v>1.98</v>
      </c>
    </row>
    <row r="2319" spans="2:21" ht="17.399999999999999" thickTop="1" thickBot="1">
      <c r="B2319" s="103">
        <v>231.29999999999899</v>
      </c>
      <c r="T2319" s="270">
        <v>25.17</v>
      </c>
      <c r="U2319" s="270">
        <v>1.98</v>
      </c>
    </row>
    <row r="2320" spans="2:21" ht="17.399999999999999" thickTop="1" thickBot="1">
      <c r="B2320" s="216">
        <v>231.39999999999901</v>
      </c>
      <c r="T2320" s="270">
        <v>25.19</v>
      </c>
      <c r="U2320" s="270">
        <v>1.98</v>
      </c>
    </row>
    <row r="2321" spans="2:21" ht="17.399999999999999" thickTop="1" thickBot="1">
      <c r="B2321" s="103">
        <v>231.49999999999901</v>
      </c>
      <c r="T2321" s="270">
        <v>25.21</v>
      </c>
      <c r="U2321" s="270">
        <v>1.98</v>
      </c>
    </row>
    <row r="2322" spans="2:21" ht="17.399999999999999" thickTop="1" thickBot="1">
      <c r="B2322" s="216">
        <v>231.599999999999</v>
      </c>
      <c r="T2322" s="270">
        <v>25.24</v>
      </c>
      <c r="U2322" s="270">
        <v>1.98</v>
      </c>
    </row>
    <row r="2323" spans="2:21" ht="17.399999999999999" thickTop="1" thickBot="1">
      <c r="B2323" s="103">
        <v>231.69999999999899</v>
      </c>
      <c r="T2323" s="270">
        <v>25.26</v>
      </c>
      <c r="U2323" s="270">
        <v>1.99</v>
      </c>
    </row>
    <row r="2324" spans="2:21" ht="17.399999999999999" thickTop="1" thickBot="1">
      <c r="B2324" s="216">
        <v>231.79999999999899</v>
      </c>
      <c r="T2324" s="270">
        <v>25.28</v>
      </c>
      <c r="U2324" s="270">
        <v>1.99</v>
      </c>
    </row>
    <row r="2325" spans="2:21" ht="17.399999999999999" thickTop="1" thickBot="1">
      <c r="B2325" s="103">
        <v>231.89999999999901</v>
      </c>
      <c r="T2325" s="270">
        <v>25.3</v>
      </c>
      <c r="U2325" s="270">
        <v>1.99</v>
      </c>
    </row>
    <row r="2326" spans="2:21" ht="17.399999999999999" thickTop="1" thickBot="1">
      <c r="B2326" s="216">
        <v>231.99999999999901</v>
      </c>
      <c r="T2326" s="270">
        <v>25.32</v>
      </c>
      <c r="U2326" s="270">
        <v>1.99</v>
      </c>
    </row>
    <row r="2327" spans="2:21" ht="17.399999999999999" thickTop="1" thickBot="1">
      <c r="B2327" s="103">
        <v>232.099999999999</v>
      </c>
      <c r="T2327" s="270">
        <v>25.34</v>
      </c>
      <c r="U2327" s="270">
        <v>1.99</v>
      </c>
    </row>
    <row r="2328" spans="2:21" ht="17.399999999999999" thickTop="1" thickBot="1">
      <c r="B2328" s="216">
        <v>232.19999999999899</v>
      </c>
      <c r="T2328" s="270">
        <v>25.37</v>
      </c>
      <c r="U2328" s="270">
        <v>2</v>
      </c>
    </row>
    <row r="2329" spans="2:21" ht="17.399999999999999" thickTop="1" thickBot="1">
      <c r="B2329" s="103">
        <v>232.29999999999899</v>
      </c>
      <c r="T2329" s="270">
        <v>25.39</v>
      </c>
      <c r="U2329" s="270">
        <v>2</v>
      </c>
    </row>
    <row r="2330" spans="2:21" ht="17.399999999999999" thickTop="1" thickBot="1">
      <c r="B2330" s="216">
        <v>232.39999999999901</v>
      </c>
      <c r="T2330" s="270">
        <v>25.41</v>
      </c>
      <c r="U2330" s="270">
        <v>2</v>
      </c>
    </row>
    <row r="2331" spans="2:21" ht="17.399999999999999" thickTop="1" thickBot="1">
      <c r="B2331" s="103">
        <v>232.49999999999901</v>
      </c>
      <c r="T2331" s="270">
        <v>25.43</v>
      </c>
      <c r="U2331" s="270">
        <v>2</v>
      </c>
    </row>
    <row r="2332" spans="2:21" ht="17.399999999999999" thickTop="1" thickBot="1">
      <c r="B2332" s="216">
        <v>232.599999999999</v>
      </c>
      <c r="T2332" s="270">
        <v>25.45</v>
      </c>
      <c r="U2332" s="270">
        <v>2</v>
      </c>
    </row>
    <row r="2333" spans="2:21" ht="17.399999999999999" thickTop="1" thickBot="1">
      <c r="B2333" s="103">
        <v>232.69999999999899</v>
      </c>
      <c r="T2333" s="270">
        <v>25.48</v>
      </c>
      <c r="U2333" s="270">
        <v>2</v>
      </c>
    </row>
    <row r="2334" spans="2:21" ht="17.399999999999999" thickTop="1" thickBot="1">
      <c r="B2334" s="216">
        <v>232.79999999999899</v>
      </c>
      <c r="T2334" s="270">
        <v>25.5</v>
      </c>
      <c r="U2334" s="270">
        <v>2.0099999999999998</v>
      </c>
    </row>
    <row r="2335" spans="2:21" ht="17.399999999999999" thickTop="1" thickBot="1">
      <c r="B2335" s="103">
        <v>232.89999999999901</v>
      </c>
      <c r="T2335" s="270">
        <v>25.52</v>
      </c>
      <c r="U2335" s="270">
        <v>2.0099999999999998</v>
      </c>
    </row>
    <row r="2336" spans="2:21" ht="17.399999999999999" thickTop="1" thickBot="1">
      <c r="B2336" s="216">
        <v>232.99999999999901</v>
      </c>
      <c r="T2336" s="270">
        <v>25.54</v>
      </c>
      <c r="U2336" s="270">
        <v>2.0099999999999998</v>
      </c>
    </row>
    <row r="2337" spans="2:21" ht="17.399999999999999" thickTop="1" thickBot="1">
      <c r="B2337" s="103">
        <v>233.099999999999</v>
      </c>
      <c r="T2337" s="270">
        <v>25.56</v>
      </c>
      <c r="U2337" s="270">
        <v>2.0099999999999998</v>
      </c>
    </row>
    <row r="2338" spans="2:21" ht="17.399999999999999" thickTop="1" thickBot="1">
      <c r="B2338" s="216">
        <v>233.19999999999899</v>
      </c>
      <c r="T2338" s="270">
        <v>25.59</v>
      </c>
      <c r="U2338" s="270">
        <v>2.0099999999999998</v>
      </c>
    </row>
    <row r="2339" spans="2:21" ht="17.399999999999999" thickTop="1" thickBot="1">
      <c r="B2339" s="103">
        <v>233.29999999999899</v>
      </c>
      <c r="T2339" s="270">
        <v>25.61</v>
      </c>
      <c r="U2339" s="270">
        <v>2.0099999999999998</v>
      </c>
    </row>
    <row r="2340" spans="2:21" ht="17.399999999999999" thickTop="1" thickBot="1">
      <c r="B2340" s="216">
        <v>233.39999999999901</v>
      </c>
      <c r="T2340" s="270">
        <v>25.63</v>
      </c>
      <c r="U2340" s="270">
        <v>2.02</v>
      </c>
    </row>
    <row r="2341" spans="2:21" ht="17.399999999999999" thickTop="1" thickBot="1">
      <c r="B2341" s="103">
        <v>233.49999999999901</v>
      </c>
      <c r="T2341" s="270">
        <v>25.65</v>
      </c>
      <c r="U2341" s="270">
        <v>2.02</v>
      </c>
    </row>
    <row r="2342" spans="2:21" ht="17.399999999999999" thickTop="1" thickBot="1">
      <c r="B2342" s="216">
        <v>233.599999999999</v>
      </c>
      <c r="T2342" s="270">
        <v>25.67</v>
      </c>
      <c r="U2342" s="270">
        <v>2.02</v>
      </c>
    </row>
    <row r="2343" spans="2:21" ht="17.399999999999999" thickTop="1" thickBot="1">
      <c r="B2343" s="103">
        <v>233.69999999999899</v>
      </c>
      <c r="T2343" s="270">
        <v>25.7</v>
      </c>
      <c r="U2343" s="270">
        <v>2.02</v>
      </c>
    </row>
    <row r="2344" spans="2:21" ht="17.399999999999999" thickTop="1" thickBot="1">
      <c r="B2344" s="216">
        <v>233.79999999999899</v>
      </c>
      <c r="T2344" s="270">
        <v>25.72</v>
      </c>
      <c r="U2344" s="270">
        <v>2.02</v>
      </c>
    </row>
    <row r="2345" spans="2:21" ht="17.399999999999999" thickTop="1" thickBot="1">
      <c r="B2345" s="103">
        <v>233.89999999999901</v>
      </c>
      <c r="T2345" s="270">
        <v>25.74</v>
      </c>
      <c r="U2345" s="270">
        <v>2.02</v>
      </c>
    </row>
    <row r="2346" spans="2:21" ht="17.399999999999999" thickTop="1" thickBot="1">
      <c r="B2346" s="216">
        <v>233.99999999999901</v>
      </c>
      <c r="T2346" s="270">
        <v>25.76</v>
      </c>
      <c r="U2346" s="270">
        <v>2.0299999999999998</v>
      </c>
    </row>
    <row r="2347" spans="2:21" ht="17.399999999999999" thickTop="1" thickBot="1">
      <c r="B2347" s="103">
        <v>234.099999999999</v>
      </c>
      <c r="T2347" s="270">
        <v>25.78</v>
      </c>
      <c r="U2347" s="270">
        <v>2.0299999999999998</v>
      </c>
    </row>
    <row r="2348" spans="2:21" ht="17.399999999999999" thickTop="1" thickBot="1">
      <c r="B2348" s="216">
        <v>234.19999999999899</v>
      </c>
      <c r="T2348" s="270">
        <v>25.81</v>
      </c>
      <c r="U2348" s="270">
        <v>2.0299999999999998</v>
      </c>
    </row>
    <row r="2349" spans="2:21" ht="17.399999999999999" thickTop="1" thickBot="1">
      <c r="B2349" s="103">
        <v>234.29999999999899</v>
      </c>
      <c r="T2349" s="270">
        <v>25.83</v>
      </c>
      <c r="U2349" s="270">
        <v>2.0299999999999998</v>
      </c>
    </row>
    <row r="2350" spans="2:21" ht="17.399999999999999" thickTop="1" thickBot="1">
      <c r="B2350" s="216">
        <v>234.39999999999901</v>
      </c>
      <c r="T2350" s="270">
        <v>25.85</v>
      </c>
      <c r="U2350" s="270">
        <v>2.0299999999999998</v>
      </c>
    </row>
    <row r="2351" spans="2:21" ht="17.399999999999999" thickTop="1" thickBot="1">
      <c r="B2351" s="103">
        <v>234.49999999999901</v>
      </c>
      <c r="T2351" s="270">
        <v>25.87</v>
      </c>
      <c r="U2351" s="270">
        <v>2.0299999999999998</v>
      </c>
    </row>
    <row r="2352" spans="2:21" ht="17.399999999999999" thickTop="1" thickBot="1">
      <c r="B2352" s="216">
        <v>234.599999999999</v>
      </c>
      <c r="T2352" s="270">
        <v>25.89</v>
      </c>
      <c r="U2352" s="270">
        <v>2.04</v>
      </c>
    </row>
    <row r="2353" spans="2:21" ht="17.399999999999999" thickTop="1" thickBot="1">
      <c r="B2353" s="103">
        <v>234.69999999999899</v>
      </c>
      <c r="T2353" s="270">
        <v>25.92</v>
      </c>
      <c r="U2353" s="270">
        <v>2.04</v>
      </c>
    </row>
    <row r="2354" spans="2:21" ht="17.399999999999999" thickTop="1" thickBot="1">
      <c r="B2354" s="216">
        <v>234.79999999999899</v>
      </c>
      <c r="T2354" s="270">
        <v>25.94</v>
      </c>
      <c r="U2354" s="270">
        <v>2.04</v>
      </c>
    </row>
    <row r="2355" spans="2:21" ht="17.399999999999999" thickTop="1" thickBot="1">
      <c r="B2355" s="103">
        <v>234.89999999999901</v>
      </c>
      <c r="T2355" s="270">
        <v>25.96</v>
      </c>
      <c r="U2355" s="270">
        <v>2.04</v>
      </c>
    </row>
    <row r="2356" spans="2:21" ht="17.399999999999999" thickTop="1" thickBot="1">
      <c r="B2356" s="216">
        <v>234.99999999999901</v>
      </c>
      <c r="T2356" s="270">
        <v>25.98</v>
      </c>
      <c r="U2356" s="270">
        <v>2.04</v>
      </c>
    </row>
    <row r="2357" spans="2:21" ht="17.399999999999999" thickTop="1" thickBot="1">
      <c r="B2357" s="103">
        <v>235.099999999999</v>
      </c>
      <c r="T2357" s="270">
        <v>26</v>
      </c>
      <c r="U2357" s="270">
        <v>2.0499999999999998</v>
      </c>
    </row>
    <row r="2358" spans="2:21" ht="17.399999999999999" thickTop="1" thickBot="1">
      <c r="B2358" s="216">
        <v>235.19999999999899</v>
      </c>
      <c r="T2358" s="270">
        <v>26.03</v>
      </c>
      <c r="U2358" s="270">
        <v>2.0499999999999998</v>
      </c>
    </row>
    <row r="2359" spans="2:21" ht="17.399999999999999" thickTop="1" thickBot="1">
      <c r="B2359" s="103">
        <v>235.29999999999899</v>
      </c>
      <c r="T2359" s="270">
        <v>26.05</v>
      </c>
      <c r="U2359" s="270">
        <v>2.0499999999999998</v>
      </c>
    </row>
    <row r="2360" spans="2:21" ht="17.399999999999999" thickTop="1" thickBot="1">
      <c r="B2360" s="216">
        <v>235.39999999999901</v>
      </c>
      <c r="T2360" s="270">
        <v>26.07</v>
      </c>
      <c r="U2360" s="270">
        <v>2.0499999999999998</v>
      </c>
    </row>
    <row r="2361" spans="2:21" ht="17.399999999999999" thickTop="1" thickBot="1">
      <c r="B2361" s="103">
        <v>235.49999999999901</v>
      </c>
      <c r="T2361" s="270">
        <v>26.09</v>
      </c>
      <c r="U2361" s="270">
        <v>2.0499999999999998</v>
      </c>
    </row>
    <row r="2362" spans="2:21" ht="17.399999999999999" thickTop="1" thickBot="1">
      <c r="B2362" s="216">
        <v>235.599999999999</v>
      </c>
      <c r="T2362" s="270">
        <v>26.11</v>
      </c>
      <c r="U2362" s="270">
        <v>2.0499999999999998</v>
      </c>
    </row>
    <row r="2363" spans="2:21" ht="17.399999999999999" thickTop="1" thickBot="1">
      <c r="B2363" s="103">
        <v>235.69999999999899</v>
      </c>
      <c r="T2363" s="270">
        <v>26.14</v>
      </c>
      <c r="U2363" s="270">
        <v>2.06</v>
      </c>
    </row>
    <row r="2364" spans="2:21" ht="17.399999999999999" thickTop="1" thickBot="1">
      <c r="B2364" s="216">
        <v>235.79999999999899</v>
      </c>
      <c r="T2364" s="270">
        <v>26.16</v>
      </c>
      <c r="U2364" s="270">
        <v>2.06</v>
      </c>
    </row>
    <row r="2365" spans="2:21" ht="17.399999999999999" thickTop="1" thickBot="1">
      <c r="B2365" s="103">
        <v>235.89999999999901</v>
      </c>
      <c r="T2365" s="270">
        <v>26.18</v>
      </c>
      <c r="U2365" s="270">
        <v>2.06</v>
      </c>
    </row>
    <row r="2366" spans="2:21" ht="17.399999999999999" thickTop="1" thickBot="1">
      <c r="B2366" s="216">
        <v>235.99999999999901</v>
      </c>
      <c r="T2366" s="270">
        <v>26.2</v>
      </c>
      <c r="U2366" s="270">
        <v>2.06</v>
      </c>
    </row>
    <row r="2367" spans="2:21" ht="17.399999999999999" thickTop="1" thickBot="1">
      <c r="B2367" s="103">
        <v>236.099999999999</v>
      </c>
      <c r="T2367" s="270">
        <v>26.23</v>
      </c>
      <c r="U2367" s="270">
        <v>2.06</v>
      </c>
    </row>
    <row r="2368" spans="2:21" ht="17.399999999999999" thickTop="1" thickBot="1">
      <c r="B2368" s="216">
        <v>236.19999999999899</v>
      </c>
      <c r="T2368" s="270">
        <v>26.25</v>
      </c>
      <c r="U2368" s="270">
        <v>2.06</v>
      </c>
    </row>
    <row r="2369" spans="2:21" ht="17.399999999999999" thickTop="1" thickBot="1">
      <c r="B2369" s="103">
        <v>236.29999999999899</v>
      </c>
      <c r="T2369" s="270">
        <v>26.27</v>
      </c>
      <c r="U2369" s="270">
        <v>2.0699999999999998</v>
      </c>
    </row>
    <row r="2370" spans="2:21" ht="17.399999999999999" thickTop="1" thickBot="1">
      <c r="B2370" s="216">
        <v>236.39999999999901</v>
      </c>
      <c r="T2370" s="270">
        <v>26.29</v>
      </c>
      <c r="U2370" s="270">
        <v>2.0699999999999998</v>
      </c>
    </row>
    <row r="2371" spans="2:21" ht="17.399999999999999" thickTop="1" thickBot="1">
      <c r="B2371" s="103">
        <v>236.49999999999901</v>
      </c>
      <c r="T2371" s="270">
        <v>26.31</v>
      </c>
      <c r="U2371" s="270">
        <v>2.0699999999999998</v>
      </c>
    </row>
    <row r="2372" spans="2:21" ht="17.399999999999999" thickTop="1" thickBot="1">
      <c r="B2372" s="216">
        <v>236.599999999999</v>
      </c>
      <c r="T2372" s="270">
        <v>26.34</v>
      </c>
      <c r="U2372" s="270">
        <v>2.0699999999999998</v>
      </c>
    </row>
    <row r="2373" spans="2:21" ht="17.399999999999999" thickTop="1" thickBot="1">
      <c r="B2373" s="103">
        <v>236.69999999999899</v>
      </c>
      <c r="T2373" s="270">
        <v>26.36</v>
      </c>
      <c r="U2373" s="270">
        <v>2.0699999999999998</v>
      </c>
    </row>
    <row r="2374" spans="2:21" ht="17.399999999999999" thickTop="1" thickBot="1">
      <c r="B2374" s="216">
        <v>236.79999999999899</v>
      </c>
      <c r="T2374" s="270">
        <v>26.38</v>
      </c>
      <c r="U2374" s="270">
        <v>2.0699999999999998</v>
      </c>
    </row>
    <row r="2375" spans="2:21" ht="17.399999999999999" thickTop="1" thickBot="1">
      <c r="B2375" s="103">
        <v>236.89999999999901</v>
      </c>
      <c r="T2375" s="270">
        <v>26.4</v>
      </c>
      <c r="U2375" s="270">
        <v>2.08</v>
      </c>
    </row>
    <row r="2376" spans="2:21" ht="17.399999999999999" thickTop="1" thickBot="1">
      <c r="B2376" s="216">
        <v>236.99999999999901</v>
      </c>
      <c r="T2376" s="270">
        <v>26.43</v>
      </c>
      <c r="U2376" s="270">
        <v>2.08</v>
      </c>
    </row>
    <row r="2377" spans="2:21" ht="17.399999999999999" thickTop="1" thickBot="1">
      <c r="B2377" s="103">
        <v>237.099999999999</v>
      </c>
      <c r="T2377" s="270">
        <v>26.45</v>
      </c>
      <c r="U2377" s="270">
        <v>2.08</v>
      </c>
    </row>
    <row r="2378" spans="2:21" ht="17.399999999999999" thickTop="1" thickBot="1">
      <c r="B2378" s="216">
        <v>237.19999999999899</v>
      </c>
      <c r="T2378" s="270">
        <v>26.47</v>
      </c>
      <c r="U2378" s="270">
        <v>2.08</v>
      </c>
    </row>
    <row r="2379" spans="2:21" ht="17.399999999999999" thickTop="1" thickBot="1">
      <c r="B2379" s="103">
        <v>237.29999999999899</v>
      </c>
      <c r="T2379" s="270">
        <v>26.49</v>
      </c>
      <c r="U2379" s="270">
        <v>2.08</v>
      </c>
    </row>
    <row r="2380" spans="2:21" ht="17.399999999999999" thickTop="1" thickBot="1">
      <c r="B2380" s="216">
        <v>237.39999999999901</v>
      </c>
      <c r="T2380" s="270">
        <v>26.52</v>
      </c>
      <c r="U2380" s="270">
        <v>2.09</v>
      </c>
    </row>
    <row r="2381" spans="2:21" ht="17.399999999999999" thickTop="1" thickBot="1">
      <c r="B2381" s="103">
        <v>237.49999999999901</v>
      </c>
      <c r="T2381" s="270">
        <v>26.54</v>
      </c>
      <c r="U2381" s="270">
        <v>2.09</v>
      </c>
    </row>
    <row r="2382" spans="2:21" ht="17.399999999999999" thickTop="1" thickBot="1">
      <c r="B2382" s="216">
        <v>237.599999999999</v>
      </c>
      <c r="T2382" s="270">
        <v>26.56</v>
      </c>
      <c r="U2382" s="270">
        <v>2.09</v>
      </c>
    </row>
    <row r="2383" spans="2:21" ht="17.399999999999999" thickTop="1" thickBot="1">
      <c r="B2383" s="103">
        <v>237.69999999999899</v>
      </c>
      <c r="T2383" s="270">
        <v>26.58</v>
      </c>
      <c r="U2383" s="270">
        <v>2.09</v>
      </c>
    </row>
    <row r="2384" spans="2:21" ht="17.399999999999999" thickTop="1" thickBot="1">
      <c r="B2384" s="216">
        <v>237.79999999999899</v>
      </c>
      <c r="T2384" s="270">
        <v>26.6</v>
      </c>
      <c r="U2384" s="270">
        <v>2.09</v>
      </c>
    </row>
    <row r="2385" spans="2:21" ht="17.399999999999999" thickTop="1" thickBot="1">
      <c r="B2385" s="103">
        <v>237.89999999999901</v>
      </c>
      <c r="T2385" s="270">
        <v>26.63</v>
      </c>
      <c r="U2385" s="270">
        <v>2.09</v>
      </c>
    </row>
    <row r="2386" spans="2:21" ht="17.399999999999999" thickTop="1" thickBot="1">
      <c r="B2386" s="216">
        <v>237.99999999999901</v>
      </c>
      <c r="T2386" s="270">
        <v>26.65</v>
      </c>
      <c r="U2386" s="270">
        <v>2.1</v>
      </c>
    </row>
    <row r="2387" spans="2:21" ht="17.399999999999999" thickTop="1" thickBot="1">
      <c r="B2387" s="103">
        <v>238.099999999999</v>
      </c>
      <c r="T2387" s="270">
        <v>26.67</v>
      </c>
      <c r="U2387" s="270">
        <v>2.1</v>
      </c>
    </row>
    <row r="2388" spans="2:21" ht="17.399999999999999" thickTop="1" thickBot="1">
      <c r="B2388" s="216">
        <v>238.19999999999899</v>
      </c>
      <c r="T2388" s="270">
        <v>26.69</v>
      </c>
      <c r="U2388" s="270">
        <v>2.1</v>
      </c>
    </row>
    <row r="2389" spans="2:21" ht="17.399999999999999" thickTop="1" thickBot="1">
      <c r="B2389" s="103">
        <v>238.29999999999899</v>
      </c>
      <c r="T2389" s="270">
        <v>26.72</v>
      </c>
      <c r="U2389" s="270">
        <v>2.1</v>
      </c>
    </row>
    <row r="2390" spans="2:21" ht="17.399999999999999" thickTop="1" thickBot="1">
      <c r="B2390" s="216">
        <v>238.39999999999901</v>
      </c>
      <c r="T2390" s="270">
        <v>26.74</v>
      </c>
      <c r="U2390" s="270">
        <v>2.1</v>
      </c>
    </row>
    <row r="2391" spans="2:21" ht="17.399999999999999" thickTop="1" thickBot="1">
      <c r="B2391" s="103">
        <v>238.49999999999901</v>
      </c>
      <c r="T2391" s="270">
        <v>26.76</v>
      </c>
      <c r="U2391" s="270">
        <v>2.1</v>
      </c>
    </row>
    <row r="2392" spans="2:21" ht="17.399999999999999" thickTop="1" thickBot="1">
      <c r="B2392" s="216">
        <v>238.599999999999</v>
      </c>
      <c r="T2392" s="270">
        <v>26.78</v>
      </c>
      <c r="U2392" s="270">
        <v>2.11</v>
      </c>
    </row>
    <row r="2393" spans="2:21" ht="17.399999999999999" thickTop="1" thickBot="1">
      <c r="B2393" s="103">
        <v>238.69999999999899</v>
      </c>
      <c r="T2393" s="270">
        <v>26.81</v>
      </c>
      <c r="U2393" s="270">
        <v>2.11</v>
      </c>
    </row>
    <row r="2394" spans="2:21" ht="17.399999999999999" thickTop="1" thickBot="1">
      <c r="B2394" s="216">
        <v>238.79999999999899</v>
      </c>
      <c r="T2394" s="270">
        <v>26.83</v>
      </c>
      <c r="U2394" s="270">
        <v>2.11</v>
      </c>
    </row>
    <row r="2395" spans="2:21" ht="17.399999999999999" thickTop="1" thickBot="1">
      <c r="B2395" s="103">
        <v>238.89999999999901</v>
      </c>
      <c r="T2395" s="270">
        <v>26.85</v>
      </c>
      <c r="U2395" s="270">
        <v>2.11</v>
      </c>
    </row>
    <row r="2396" spans="2:21" ht="17.399999999999999" thickTop="1" thickBot="1">
      <c r="B2396" s="216">
        <v>238.99999999999901</v>
      </c>
      <c r="T2396" s="270">
        <v>26.87</v>
      </c>
      <c r="U2396" s="270">
        <v>2.11</v>
      </c>
    </row>
    <row r="2397" spans="2:21" ht="17.399999999999999" thickTop="1" thickBot="1">
      <c r="B2397" s="103">
        <v>239.099999999999</v>
      </c>
      <c r="T2397" s="270">
        <v>26.9</v>
      </c>
      <c r="U2397" s="270">
        <v>2.12</v>
      </c>
    </row>
    <row r="2398" spans="2:21" ht="17.399999999999999" thickTop="1" thickBot="1">
      <c r="B2398" s="216">
        <v>239.19999999999899</v>
      </c>
      <c r="T2398" s="270">
        <v>26.92</v>
      </c>
      <c r="U2398" s="270">
        <v>2.12</v>
      </c>
    </row>
    <row r="2399" spans="2:21" ht="17.399999999999999" thickTop="1" thickBot="1">
      <c r="B2399" s="103">
        <v>239.29999999999899</v>
      </c>
      <c r="T2399" s="270">
        <v>26.94</v>
      </c>
      <c r="U2399" s="270">
        <v>2.12</v>
      </c>
    </row>
    <row r="2400" spans="2:21" ht="17.399999999999999" thickTop="1" thickBot="1">
      <c r="B2400" s="216">
        <v>239.39999999999901</v>
      </c>
      <c r="T2400" s="270">
        <v>26.96</v>
      </c>
      <c r="U2400" s="270">
        <v>2.12</v>
      </c>
    </row>
    <row r="2401" spans="2:21" ht="17.399999999999999" thickTop="1" thickBot="1">
      <c r="B2401" s="103">
        <v>239.49999999999901</v>
      </c>
      <c r="T2401" s="270">
        <v>26.99</v>
      </c>
      <c r="U2401" s="270">
        <v>2.12</v>
      </c>
    </row>
    <row r="2402" spans="2:21" ht="17.399999999999999" thickTop="1" thickBot="1">
      <c r="B2402" s="216">
        <v>239.599999999999</v>
      </c>
      <c r="T2402" s="270">
        <v>27.01</v>
      </c>
      <c r="U2402" s="270">
        <v>2.12</v>
      </c>
    </row>
    <row r="2403" spans="2:21" ht="17.399999999999999" thickTop="1" thickBot="1">
      <c r="B2403" s="103">
        <v>239.69999999999899</v>
      </c>
      <c r="T2403" s="270">
        <v>27.03</v>
      </c>
      <c r="U2403" s="270">
        <v>2.13</v>
      </c>
    </row>
    <row r="2404" spans="2:21" ht="17.399999999999999" thickTop="1" thickBot="1">
      <c r="B2404" s="216">
        <v>239.79999999999899</v>
      </c>
      <c r="T2404" s="270">
        <v>27.05</v>
      </c>
      <c r="U2404" s="270">
        <v>2.13</v>
      </c>
    </row>
    <row r="2405" spans="2:21" ht="17.399999999999999" thickTop="1" thickBot="1">
      <c r="B2405" s="103">
        <v>239.89999999999901</v>
      </c>
      <c r="T2405" s="270">
        <v>27.08</v>
      </c>
      <c r="U2405" s="270">
        <v>2.13</v>
      </c>
    </row>
    <row r="2406" spans="2:21" ht="17.399999999999999" thickTop="1" thickBot="1">
      <c r="B2406" s="216">
        <v>239.99999999999901</v>
      </c>
      <c r="T2406" s="270">
        <v>27.1</v>
      </c>
      <c r="U2406" s="270">
        <v>2.13</v>
      </c>
    </row>
    <row r="2407" spans="2:21" ht="17.399999999999999" thickTop="1" thickBot="1">
      <c r="B2407" s="103">
        <v>240.099999999999</v>
      </c>
      <c r="T2407" s="270">
        <v>27.12</v>
      </c>
      <c r="U2407" s="270">
        <v>2.13</v>
      </c>
    </row>
    <row r="2408" spans="2:21" ht="17.399999999999999" thickTop="1" thickBot="1">
      <c r="B2408" s="216">
        <v>240.19999999999899</v>
      </c>
      <c r="T2408" s="270">
        <v>27.14</v>
      </c>
      <c r="U2408" s="270">
        <v>2.13</v>
      </c>
    </row>
    <row r="2409" spans="2:21" ht="17.399999999999999" thickTop="1" thickBot="1">
      <c r="B2409" s="103">
        <v>240.29999999999899</v>
      </c>
      <c r="T2409" s="270">
        <v>27.17</v>
      </c>
      <c r="U2409" s="270">
        <v>2.14</v>
      </c>
    </row>
    <row r="2410" spans="2:21" ht="17.399999999999999" thickTop="1" thickBot="1">
      <c r="B2410" s="216">
        <v>240.39999999999901</v>
      </c>
      <c r="T2410" s="270">
        <v>27.19</v>
      </c>
      <c r="U2410" s="270">
        <v>2.14</v>
      </c>
    </row>
    <row r="2411" spans="2:21" ht="17.399999999999999" thickTop="1" thickBot="1">
      <c r="B2411" s="103">
        <v>240.49999999999901</v>
      </c>
      <c r="T2411" s="270">
        <v>27.21</v>
      </c>
      <c r="U2411" s="270">
        <v>2.14</v>
      </c>
    </row>
    <row r="2412" spans="2:21" ht="17.399999999999999" thickTop="1" thickBot="1">
      <c r="B2412" s="216">
        <v>240.599999999999</v>
      </c>
      <c r="T2412" s="270">
        <v>27.23</v>
      </c>
      <c r="U2412" s="270">
        <v>2.14</v>
      </c>
    </row>
    <row r="2413" spans="2:21" ht="17.399999999999999" thickTop="1" thickBot="1">
      <c r="B2413" s="103">
        <v>240.69999999999899</v>
      </c>
      <c r="T2413" s="270">
        <v>27.26</v>
      </c>
      <c r="U2413" s="270">
        <v>2.14</v>
      </c>
    </row>
    <row r="2414" spans="2:21" ht="17.399999999999999" thickTop="1" thickBot="1">
      <c r="B2414" s="216">
        <v>240.79999999999899</v>
      </c>
      <c r="T2414" s="270">
        <v>27.28</v>
      </c>
      <c r="U2414" s="270">
        <v>2.15</v>
      </c>
    </row>
    <row r="2415" spans="2:21" ht="17.399999999999999" thickTop="1" thickBot="1">
      <c r="B2415" s="103">
        <v>240.89999999999901</v>
      </c>
      <c r="T2415" s="270">
        <v>27.3</v>
      </c>
      <c r="U2415" s="270">
        <v>2.15</v>
      </c>
    </row>
    <row r="2416" spans="2:21" ht="17.399999999999999" thickTop="1" thickBot="1">
      <c r="B2416" s="216">
        <v>240.99999999999901</v>
      </c>
      <c r="T2416" s="270">
        <v>27.33</v>
      </c>
      <c r="U2416" s="270">
        <v>2.15</v>
      </c>
    </row>
    <row r="2417" spans="2:21" ht="17.399999999999999" thickTop="1" thickBot="1">
      <c r="B2417" s="103">
        <v>241.099999999999</v>
      </c>
      <c r="T2417" s="270">
        <v>27.35</v>
      </c>
      <c r="U2417" s="270">
        <v>2.15</v>
      </c>
    </row>
    <row r="2418" spans="2:21" ht="17.399999999999999" thickTop="1" thickBot="1">
      <c r="B2418" s="216">
        <v>241.19999999999899</v>
      </c>
      <c r="T2418" s="270">
        <v>27.37</v>
      </c>
      <c r="U2418" s="270">
        <v>2.15</v>
      </c>
    </row>
    <row r="2419" spans="2:21" ht="17.399999999999999" thickTop="1" thickBot="1">
      <c r="B2419" s="103">
        <v>241.29999999999899</v>
      </c>
      <c r="T2419" s="270">
        <v>27.39</v>
      </c>
      <c r="U2419" s="270">
        <v>2.15</v>
      </c>
    </row>
    <row r="2420" spans="2:21" ht="17.399999999999999" thickTop="1" thickBot="1">
      <c r="B2420" s="216">
        <v>241.39999999999901</v>
      </c>
      <c r="T2420" s="270">
        <v>27.42</v>
      </c>
      <c r="U2420" s="270">
        <v>2.16</v>
      </c>
    </row>
    <row r="2421" spans="2:21" ht="17.399999999999999" thickTop="1" thickBot="1">
      <c r="B2421" s="103">
        <v>241.49999999999901</v>
      </c>
      <c r="T2421" s="270">
        <v>27.44</v>
      </c>
      <c r="U2421" s="270">
        <v>2.16</v>
      </c>
    </row>
    <row r="2422" spans="2:21" ht="17.399999999999999" thickTop="1" thickBot="1">
      <c r="B2422" s="216">
        <v>241.599999999999</v>
      </c>
      <c r="T2422" s="270">
        <v>27.46</v>
      </c>
      <c r="U2422" s="270">
        <v>2.16</v>
      </c>
    </row>
    <row r="2423" spans="2:21" ht="17.399999999999999" thickTop="1" thickBot="1">
      <c r="B2423" s="103">
        <v>241.69999999999899</v>
      </c>
      <c r="T2423" s="270">
        <v>27.48</v>
      </c>
      <c r="U2423" s="270">
        <v>2.16</v>
      </c>
    </row>
    <row r="2424" spans="2:21" ht="17.399999999999999" thickTop="1" thickBot="1">
      <c r="B2424" s="216">
        <v>241.79999999999899</v>
      </c>
      <c r="T2424" s="270">
        <v>27.51</v>
      </c>
      <c r="U2424" s="270">
        <v>2.16</v>
      </c>
    </row>
    <row r="2425" spans="2:21" ht="17.399999999999999" thickTop="1" thickBot="1">
      <c r="B2425" s="103">
        <v>241.89999999999901</v>
      </c>
      <c r="T2425" s="270">
        <v>27.53</v>
      </c>
      <c r="U2425" s="270">
        <v>2.17</v>
      </c>
    </row>
    <row r="2426" spans="2:21" ht="17.399999999999999" thickTop="1" thickBot="1">
      <c r="B2426" s="216">
        <v>241.99999999999901</v>
      </c>
      <c r="T2426" s="270">
        <v>27.55</v>
      </c>
      <c r="U2426" s="270">
        <v>2.17</v>
      </c>
    </row>
    <row r="2427" spans="2:21" ht="17.399999999999999" thickTop="1" thickBot="1">
      <c r="B2427" s="103">
        <v>242.099999999999</v>
      </c>
      <c r="T2427" s="270">
        <v>27.58</v>
      </c>
      <c r="U2427" s="270">
        <v>2.17</v>
      </c>
    </row>
    <row r="2428" spans="2:21" ht="17.399999999999999" thickTop="1" thickBot="1">
      <c r="B2428" s="216">
        <v>242.19999999999899</v>
      </c>
      <c r="T2428" s="270">
        <v>27.6</v>
      </c>
      <c r="U2428" s="270">
        <v>2.17</v>
      </c>
    </row>
    <row r="2429" spans="2:21" ht="17.399999999999999" thickTop="1" thickBot="1">
      <c r="B2429" s="103">
        <v>242.29999999999899</v>
      </c>
      <c r="T2429" s="270">
        <v>27.62</v>
      </c>
      <c r="U2429" s="270">
        <v>2.17</v>
      </c>
    </row>
    <row r="2430" spans="2:21" ht="17.399999999999999" thickTop="1" thickBot="1">
      <c r="B2430" s="216">
        <v>242.39999999999901</v>
      </c>
      <c r="T2430" s="270">
        <v>27.64</v>
      </c>
      <c r="U2430" s="270">
        <v>2.17</v>
      </c>
    </row>
    <row r="2431" spans="2:21" ht="17.399999999999999" thickTop="1" thickBot="1">
      <c r="B2431" s="103">
        <v>242.49999999999901</v>
      </c>
      <c r="T2431" s="270">
        <v>27.67</v>
      </c>
      <c r="U2431" s="270">
        <v>2.1800000000000002</v>
      </c>
    </row>
    <row r="2432" spans="2:21" ht="17.399999999999999" thickTop="1" thickBot="1">
      <c r="B2432" s="216">
        <v>242.599999999999</v>
      </c>
      <c r="T2432" s="270">
        <v>27.69</v>
      </c>
      <c r="U2432" s="270">
        <v>2.1800000000000002</v>
      </c>
    </row>
    <row r="2433" spans="2:21" ht="17.399999999999999" thickTop="1" thickBot="1">
      <c r="B2433" s="103">
        <v>242.69999999999899</v>
      </c>
      <c r="T2433" s="270">
        <v>27.71</v>
      </c>
      <c r="U2433" s="270">
        <v>2.1800000000000002</v>
      </c>
    </row>
    <row r="2434" spans="2:21" ht="17.399999999999999" thickTop="1" thickBot="1">
      <c r="B2434" s="216">
        <v>242.79999999999899</v>
      </c>
      <c r="T2434" s="270">
        <v>27.74</v>
      </c>
      <c r="U2434" s="270">
        <v>2.1800000000000002</v>
      </c>
    </row>
    <row r="2435" spans="2:21" ht="17.399999999999999" thickTop="1" thickBot="1">
      <c r="B2435" s="103">
        <v>242.89999999999901</v>
      </c>
      <c r="T2435" s="270">
        <v>27.76</v>
      </c>
      <c r="U2435" s="270">
        <v>2.1800000000000002</v>
      </c>
    </row>
    <row r="2436" spans="2:21" ht="17.399999999999999" thickTop="1" thickBot="1">
      <c r="B2436" s="216">
        <v>242.99999999999901</v>
      </c>
      <c r="T2436" s="270">
        <v>27.78</v>
      </c>
      <c r="U2436" s="270">
        <v>2.19</v>
      </c>
    </row>
    <row r="2437" spans="2:21" ht="17.399999999999999" thickTop="1" thickBot="1">
      <c r="B2437" s="103">
        <v>243.099999999999</v>
      </c>
      <c r="T2437" s="270">
        <v>27.8</v>
      </c>
      <c r="U2437" s="270">
        <v>2.19</v>
      </c>
    </row>
    <row r="2438" spans="2:21" ht="17.399999999999999" thickTop="1" thickBot="1">
      <c r="B2438" s="216">
        <v>243.19999999999899</v>
      </c>
      <c r="T2438" s="270">
        <v>27.83</v>
      </c>
      <c r="U2438" s="270">
        <v>2.19</v>
      </c>
    </row>
    <row r="2439" spans="2:21" ht="17.399999999999999" thickTop="1" thickBot="1">
      <c r="B2439" s="103">
        <v>243.29999999999899</v>
      </c>
      <c r="T2439" s="270">
        <v>27.85</v>
      </c>
      <c r="U2439" s="270">
        <v>2.19</v>
      </c>
    </row>
    <row r="2440" spans="2:21" ht="17.399999999999999" thickTop="1" thickBot="1">
      <c r="B2440" s="216">
        <v>243.39999999999901</v>
      </c>
      <c r="T2440" s="270">
        <v>27.87</v>
      </c>
      <c r="U2440" s="270">
        <v>2.19</v>
      </c>
    </row>
    <row r="2441" spans="2:21" ht="17.399999999999999" thickTop="1" thickBot="1">
      <c r="B2441" s="103">
        <v>243.49999999999901</v>
      </c>
      <c r="T2441" s="270">
        <v>27.9</v>
      </c>
      <c r="U2441" s="270">
        <v>2.19</v>
      </c>
    </row>
    <row r="2442" spans="2:21" ht="17.399999999999999" thickTop="1" thickBot="1">
      <c r="B2442" s="216">
        <v>243.599999999999</v>
      </c>
      <c r="T2442" s="270">
        <v>27.92</v>
      </c>
      <c r="U2442" s="270">
        <v>2.2000000000000002</v>
      </c>
    </row>
    <row r="2443" spans="2:21" ht="17.399999999999999" thickTop="1" thickBot="1">
      <c r="B2443" s="103">
        <v>243.69999999999899</v>
      </c>
      <c r="T2443" s="270">
        <v>27.94</v>
      </c>
      <c r="U2443" s="270">
        <v>2.2000000000000002</v>
      </c>
    </row>
    <row r="2444" spans="2:21" ht="17.399999999999999" thickTop="1" thickBot="1">
      <c r="B2444" s="216">
        <v>243.79999999999899</v>
      </c>
      <c r="T2444" s="270">
        <v>27.96</v>
      </c>
      <c r="U2444" s="270">
        <v>2.2000000000000002</v>
      </c>
    </row>
    <row r="2445" spans="2:21" ht="17.399999999999999" thickTop="1" thickBot="1">
      <c r="B2445" s="103">
        <v>243.89999999999901</v>
      </c>
      <c r="T2445" s="270">
        <v>27.99</v>
      </c>
      <c r="U2445" s="270">
        <v>2.2000000000000002</v>
      </c>
    </row>
    <row r="2446" spans="2:21" ht="17.399999999999999" thickTop="1" thickBot="1">
      <c r="B2446" s="216">
        <v>243.99999999999901</v>
      </c>
      <c r="T2446" s="270">
        <v>28.01</v>
      </c>
      <c r="U2446" s="270">
        <v>2.2000000000000002</v>
      </c>
    </row>
    <row r="2447" spans="2:21" ht="17.399999999999999" thickTop="1" thickBot="1">
      <c r="B2447" s="103">
        <v>244.099999999999</v>
      </c>
      <c r="T2447" s="270">
        <v>28.03</v>
      </c>
      <c r="U2447" s="270">
        <v>2.2000000000000002</v>
      </c>
    </row>
    <row r="2448" spans="2:21" ht="17.399999999999999" thickTop="1" thickBot="1">
      <c r="B2448" s="216">
        <v>244.19999999999899</v>
      </c>
      <c r="T2448" s="270">
        <v>28.06</v>
      </c>
      <c r="U2448" s="270">
        <v>2.21</v>
      </c>
    </row>
    <row r="2449" spans="2:21" ht="17.399999999999999" thickTop="1" thickBot="1">
      <c r="B2449" s="103">
        <v>244.29999999999899</v>
      </c>
      <c r="T2449" s="270">
        <v>28.08</v>
      </c>
      <c r="U2449" s="270">
        <v>2.21</v>
      </c>
    </row>
    <row r="2450" spans="2:21" ht="17.399999999999999" thickTop="1" thickBot="1">
      <c r="B2450" s="216">
        <v>244.39999999999901</v>
      </c>
      <c r="T2450" s="270">
        <v>28.1</v>
      </c>
      <c r="U2450" s="270">
        <v>2.21</v>
      </c>
    </row>
    <row r="2451" spans="2:21" ht="17.399999999999999" thickTop="1" thickBot="1">
      <c r="B2451" s="103">
        <v>244.49999999999901</v>
      </c>
      <c r="T2451" s="270">
        <v>28.12</v>
      </c>
      <c r="U2451" s="270">
        <v>2.21</v>
      </c>
    </row>
    <row r="2452" spans="2:21" ht="17.399999999999999" thickTop="1" thickBot="1">
      <c r="B2452" s="216">
        <v>244.599999999999</v>
      </c>
      <c r="T2452" s="270">
        <v>28.15</v>
      </c>
      <c r="U2452" s="270">
        <v>2.21</v>
      </c>
    </row>
    <row r="2453" spans="2:21" ht="17.399999999999999" thickTop="1" thickBot="1">
      <c r="B2453" s="103">
        <v>244.69999999999899</v>
      </c>
      <c r="T2453" s="270">
        <v>28.17</v>
      </c>
      <c r="U2453" s="270">
        <v>2.2200000000000002</v>
      </c>
    </row>
    <row r="2454" spans="2:21" ht="17.399999999999999" thickTop="1" thickBot="1">
      <c r="B2454" s="216">
        <v>244.79999999999899</v>
      </c>
      <c r="T2454" s="270">
        <v>28.19</v>
      </c>
      <c r="U2454" s="270">
        <v>2.2200000000000002</v>
      </c>
    </row>
    <row r="2455" spans="2:21" ht="17.399999999999999" thickTop="1" thickBot="1">
      <c r="B2455" s="103">
        <v>244.89999999999901</v>
      </c>
      <c r="T2455" s="270">
        <v>28.22</v>
      </c>
      <c r="U2455" s="270">
        <v>2.2200000000000002</v>
      </c>
    </row>
    <row r="2456" spans="2:21" ht="17.399999999999999" thickTop="1" thickBot="1">
      <c r="B2456" s="216">
        <v>244.99999999999901</v>
      </c>
      <c r="T2456" s="270">
        <v>28.24</v>
      </c>
      <c r="U2456" s="270">
        <v>2.2200000000000002</v>
      </c>
    </row>
    <row r="2457" spans="2:21" ht="17.399999999999999" thickTop="1" thickBot="1">
      <c r="B2457" s="103">
        <v>245.099999999999</v>
      </c>
      <c r="T2457" s="270">
        <v>28.26</v>
      </c>
      <c r="U2457" s="270">
        <v>2.2200000000000002</v>
      </c>
    </row>
    <row r="2458" spans="2:21" ht="17.399999999999999" thickTop="1" thickBot="1">
      <c r="B2458" s="216">
        <v>245.19999999999899</v>
      </c>
      <c r="T2458" s="270">
        <v>28.29</v>
      </c>
      <c r="U2458" s="270">
        <v>2.2200000000000002</v>
      </c>
    </row>
    <row r="2459" spans="2:21" ht="17.399999999999999" thickTop="1" thickBot="1">
      <c r="B2459" s="103">
        <v>245.29999999999899</v>
      </c>
      <c r="T2459" s="270">
        <v>28.31</v>
      </c>
      <c r="U2459" s="270">
        <v>2.23</v>
      </c>
    </row>
    <row r="2460" spans="2:21" ht="17.399999999999999" thickTop="1" thickBot="1">
      <c r="B2460" s="216">
        <v>245.39999999999901</v>
      </c>
      <c r="T2460" s="270">
        <v>28.33</v>
      </c>
      <c r="U2460" s="270">
        <v>2.23</v>
      </c>
    </row>
    <row r="2461" spans="2:21" ht="17.399999999999999" thickTop="1" thickBot="1">
      <c r="B2461" s="103">
        <v>245.49999999999901</v>
      </c>
      <c r="T2461" s="270">
        <v>28.36</v>
      </c>
      <c r="U2461" s="270">
        <v>2.23</v>
      </c>
    </row>
    <row r="2462" spans="2:21" ht="17.399999999999999" thickTop="1" thickBot="1">
      <c r="B2462" s="216">
        <v>245.599999999999</v>
      </c>
      <c r="T2462" s="270">
        <v>28.38</v>
      </c>
      <c r="U2462" s="270">
        <v>2.23</v>
      </c>
    </row>
    <row r="2463" spans="2:21" ht="17.399999999999999" thickTop="1" thickBot="1">
      <c r="B2463" s="103">
        <v>245.69999999999899</v>
      </c>
      <c r="T2463" s="270">
        <v>28.4</v>
      </c>
      <c r="U2463" s="270">
        <v>2.23</v>
      </c>
    </row>
    <row r="2464" spans="2:21" ht="17.399999999999999" thickTop="1" thickBot="1">
      <c r="B2464" s="216">
        <v>245.79999999999899</v>
      </c>
      <c r="T2464" s="270">
        <v>28.42</v>
      </c>
      <c r="U2464" s="270">
        <v>2.2400000000000002</v>
      </c>
    </row>
    <row r="2465" spans="2:21" ht="17.399999999999999" thickTop="1" thickBot="1">
      <c r="B2465" s="103">
        <v>245.89999999999901</v>
      </c>
      <c r="T2465" s="270">
        <v>28.45</v>
      </c>
      <c r="U2465" s="270">
        <v>2.2400000000000002</v>
      </c>
    </row>
    <row r="2466" spans="2:21" ht="17.399999999999999" thickTop="1" thickBot="1">
      <c r="B2466" s="216">
        <v>245.99999999999901</v>
      </c>
      <c r="T2466" s="270">
        <v>28.47</v>
      </c>
      <c r="U2466" s="270">
        <v>2.2400000000000002</v>
      </c>
    </row>
    <row r="2467" spans="2:21" ht="17.399999999999999" thickTop="1" thickBot="1">
      <c r="B2467" s="103">
        <v>246.099999999999</v>
      </c>
      <c r="T2467" s="270">
        <v>28.49</v>
      </c>
      <c r="U2467" s="270">
        <v>2.2400000000000002</v>
      </c>
    </row>
    <row r="2468" spans="2:21" ht="17.399999999999999" thickTop="1" thickBot="1">
      <c r="B2468" s="216">
        <v>246.19999999999899</v>
      </c>
      <c r="T2468" s="270">
        <v>28.52</v>
      </c>
      <c r="U2468" s="270">
        <v>2.2400000000000002</v>
      </c>
    </row>
    <row r="2469" spans="2:21" ht="17.399999999999999" thickTop="1" thickBot="1">
      <c r="B2469" s="103">
        <v>246.29999999999899</v>
      </c>
      <c r="T2469" s="270">
        <v>28.54</v>
      </c>
      <c r="U2469" s="270">
        <v>2.2400000000000002</v>
      </c>
    </row>
    <row r="2470" spans="2:21" ht="17.399999999999999" thickTop="1" thickBot="1">
      <c r="B2470" s="216">
        <v>246.39999999999901</v>
      </c>
      <c r="T2470" s="270">
        <v>28.56</v>
      </c>
      <c r="U2470" s="270">
        <v>2.25</v>
      </c>
    </row>
    <row r="2471" spans="2:21" ht="17.399999999999999" thickTop="1" thickBot="1">
      <c r="B2471" s="103">
        <v>246.49999999999901</v>
      </c>
      <c r="T2471" s="270">
        <v>28.59</v>
      </c>
      <c r="U2471" s="270">
        <v>2.25</v>
      </c>
    </row>
    <row r="2472" spans="2:21" ht="17.399999999999999" thickTop="1" thickBot="1">
      <c r="B2472" s="216">
        <v>246.599999999999</v>
      </c>
      <c r="T2472" s="270">
        <v>28.61</v>
      </c>
      <c r="U2472" s="270">
        <v>2.25</v>
      </c>
    </row>
    <row r="2473" spans="2:21" ht="17.399999999999999" thickTop="1" thickBot="1">
      <c r="B2473" s="103">
        <v>246.69999999999899</v>
      </c>
      <c r="T2473" s="270">
        <v>28.63</v>
      </c>
      <c r="U2473" s="270">
        <v>2.25</v>
      </c>
    </row>
    <row r="2474" spans="2:21" ht="17.399999999999999" thickTop="1" thickBot="1">
      <c r="B2474" s="216">
        <v>246.79999999999899</v>
      </c>
      <c r="T2474" s="270">
        <v>28.66</v>
      </c>
      <c r="U2474" s="270">
        <v>2.25</v>
      </c>
    </row>
    <row r="2475" spans="2:21" ht="17.399999999999999" thickTop="1" thickBot="1">
      <c r="B2475" s="103">
        <v>246.89999999999901</v>
      </c>
      <c r="T2475" s="270">
        <v>28.68</v>
      </c>
      <c r="U2475" s="270">
        <v>2.2599999999999998</v>
      </c>
    </row>
    <row r="2476" spans="2:21" ht="17.399999999999999" thickTop="1" thickBot="1">
      <c r="B2476" s="216">
        <v>246.99999999999901</v>
      </c>
      <c r="T2476" s="270">
        <v>28.7</v>
      </c>
      <c r="U2476" s="270">
        <v>2.2599999999999998</v>
      </c>
    </row>
    <row r="2477" spans="2:21" ht="17.399999999999999" thickTop="1" thickBot="1">
      <c r="B2477" s="103">
        <v>247.099999999999</v>
      </c>
      <c r="T2477" s="270">
        <v>28.73</v>
      </c>
      <c r="U2477" s="270">
        <v>2.2599999999999998</v>
      </c>
    </row>
    <row r="2478" spans="2:21" ht="17.399999999999999" thickTop="1" thickBot="1">
      <c r="B2478" s="216">
        <v>247.19999999999899</v>
      </c>
      <c r="T2478" s="270">
        <v>28.75</v>
      </c>
      <c r="U2478" s="270">
        <v>2.2599999999999998</v>
      </c>
    </row>
    <row r="2479" spans="2:21" ht="17.399999999999999" thickTop="1" thickBot="1">
      <c r="B2479" s="103">
        <v>247.29999999999899</v>
      </c>
      <c r="T2479" s="270">
        <v>28.77</v>
      </c>
      <c r="U2479" s="270">
        <v>2.2599999999999998</v>
      </c>
    </row>
    <row r="2480" spans="2:21" ht="17.399999999999999" thickTop="1" thickBot="1">
      <c r="B2480" s="216">
        <v>247.39999999999901</v>
      </c>
      <c r="T2480" s="270">
        <v>28.8</v>
      </c>
      <c r="U2480" s="270">
        <v>2.2599999999999998</v>
      </c>
    </row>
    <row r="2481" spans="2:21" ht="17.399999999999999" thickTop="1" thickBot="1">
      <c r="B2481" s="103">
        <v>247.49999999999901</v>
      </c>
      <c r="T2481" s="270">
        <v>28.82</v>
      </c>
      <c r="U2481" s="270">
        <v>2.27</v>
      </c>
    </row>
    <row r="2482" spans="2:21" ht="17.399999999999999" thickTop="1" thickBot="1">
      <c r="B2482" s="216">
        <v>247.599999999999</v>
      </c>
      <c r="T2482" s="270">
        <v>28.84</v>
      </c>
      <c r="U2482" s="270">
        <v>2.27</v>
      </c>
    </row>
    <row r="2483" spans="2:21" ht="17.399999999999999" thickTop="1" thickBot="1">
      <c r="B2483" s="103">
        <v>247.69999999999899</v>
      </c>
      <c r="T2483" s="270">
        <v>28.87</v>
      </c>
      <c r="U2483" s="270">
        <v>2.27</v>
      </c>
    </row>
    <row r="2484" spans="2:21" ht="17.399999999999999" thickTop="1" thickBot="1">
      <c r="B2484" s="216">
        <v>247.79999999999899</v>
      </c>
      <c r="T2484" s="270">
        <v>28.89</v>
      </c>
      <c r="U2484" s="270">
        <v>2.27</v>
      </c>
    </row>
    <row r="2485" spans="2:21" ht="17.399999999999999" thickTop="1" thickBot="1">
      <c r="B2485" s="103">
        <v>247.89999999999901</v>
      </c>
      <c r="T2485" s="270">
        <v>28.91</v>
      </c>
      <c r="U2485" s="270">
        <v>2.27</v>
      </c>
    </row>
    <row r="2486" spans="2:21" ht="17.399999999999999" thickTop="1" thickBot="1">
      <c r="B2486" s="216">
        <v>247.99999999999901</v>
      </c>
      <c r="T2486" s="270">
        <v>28.94</v>
      </c>
      <c r="U2486" s="270">
        <v>2.2799999999999998</v>
      </c>
    </row>
    <row r="2487" spans="2:21" ht="17.399999999999999" thickTop="1" thickBot="1">
      <c r="B2487" s="103">
        <v>248.099999999999</v>
      </c>
      <c r="T2487" s="270">
        <v>28.96</v>
      </c>
      <c r="U2487" s="270">
        <v>2.2799999999999998</v>
      </c>
    </row>
    <row r="2488" spans="2:21" ht="17.399999999999999" thickTop="1" thickBot="1">
      <c r="B2488" s="216">
        <v>248.19999999999899</v>
      </c>
      <c r="T2488" s="270">
        <v>28.98</v>
      </c>
      <c r="U2488" s="270">
        <v>2.2799999999999998</v>
      </c>
    </row>
    <row r="2489" spans="2:21" ht="17.399999999999999" thickTop="1" thickBot="1">
      <c r="B2489" s="103">
        <v>248.29999999999899</v>
      </c>
      <c r="T2489" s="270">
        <v>29.01</v>
      </c>
      <c r="U2489" s="270">
        <v>2.2799999999999998</v>
      </c>
    </row>
    <row r="2490" spans="2:21" ht="17.399999999999999" thickTop="1" thickBot="1">
      <c r="B2490" s="216">
        <v>248.39999999999901</v>
      </c>
      <c r="T2490" s="270">
        <v>29.03</v>
      </c>
      <c r="U2490" s="270">
        <v>2.2799999999999998</v>
      </c>
    </row>
    <row r="2491" spans="2:21" ht="17.399999999999999" thickTop="1" thickBot="1">
      <c r="B2491" s="103">
        <v>248.49999999999901</v>
      </c>
      <c r="T2491" s="270">
        <v>29.05</v>
      </c>
      <c r="U2491" s="270">
        <v>2.29</v>
      </c>
    </row>
    <row r="2492" spans="2:21" ht="17.399999999999999" thickTop="1" thickBot="1">
      <c r="B2492" s="216">
        <v>248.599999999999</v>
      </c>
      <c r="T2492" s="270">
        <v>29.08</v>
      </c>
      <c r="U2492" s="270">
        <v>2.29</v>
      </c>
    </row>
    <row r="2493" spans="2:21" ht="17.399999999999999" thickTop="1" thickBot="1">
      <c r="B2493" s="103">
        <v>248.69999999999899</v>
      </c>
      <c r="T2493" s="270">
        <v>29.1</v>
      </c>
      <c r="U2493" s="270">
        <v>2.29</v>
      </c>
    </row>
    <row r="2494" spans="2:21" ht="17.399999999999999" thickTop="1" thickBot="1">
      <c r="B2494" s="216">
        <v>248.79999999999899</v>
      </c>
      <c r="T2494" s="270">
        <v>29.12</v>
      </c>
      <c r="U2494" s="270">
        <v>2.29</v>
      </c>
    </row>
    <row r="2495" spans="2:21" ht="17.399999999999999" thickTop="1" thickBot="1">
      <c r="B2495" s="103">
        <v>248.89999999999901</v>
      </c>
      <c r="T2495" s="270">
        <v>29.15</v>
      </c>
      <c r="U2495" s="270">
        <v>2.29</v>
      </c>
    </row>
    <row r="2496" spans="2:21" ht="17.399999999999999" thickTop="1" thickBot="1">
      <c r="B2496" s="216">
        <v>248.99999999999901</v>
      </c>
      <c r="T2496" s="270">
        <v>29.17</v>
      </c>
      <c r="U2496" s="270">
        <v>2.29</v>
      </c>
    </row>
    <row r="2497" spans="2:21" ht="17.399999999999999" thickTop="1" thickBot="1">
      <c r="B2497" s="103">
        <v>249.099999999999</v>
      </c>
      <c r="T2497" s="270">
        <v>29.19</v>
      </c>
      <c r="U2497" s="270">
        <v>2.2999999999999998</v>
      </c>
    </row>
    <row r="2498" spans="2:21" ht="17.399999999999999" thickTop="1" thickBot="1">
      <c r="B2498" s="216">
        <v>249.19999999999899</v>
      </c>
      <c r="T2498" s="270">
        <v>29.22</v>
      </c>
      <c r="U2498" s="270">
        <v>2.2999999999999998</v>
      </c>
    </row>
    <row r="2499" spans="2:21" ht="17.399999999999999" thickTop="1" thickBot="1">
      <c r="B2499" s="103">
        <v>249.29999999999899</v>
      </c>
      <c r="T2499" s="270">
        <v>29.24</v>
      </c>
      <c r="U2499" s="270">
        <v>2.2999999999999998</v>
      </c>
    </row>
    <row r="2500" spans="2:21" ht="17.399999999999999" thickTop="1" thickBot="1">
      <c r="B2500" s="216">
        <v>249.39999999999901</v>
      </c>
      <c r="T2500" s="270">
        <v>29.26</v>
      </c>
      <c r="U2500" s="270">
        <v>2.2999999999999998</v>
      </c>
    </row>
    <row r="2501" spans="2:21" ht="17.399999999999999" thickTop="1" thickBot="1">
      <c r="B2501" s="103">
        <v>249.49999999999901</v>
      </c>
      <c r="T2501" s="270">
        <v>29.29</v>
      </c>
      <c r="U2501" s="270">
        <v>2.2999999999999998</v>
      </c>
    </row>
    <row r="2502" spans="2:21" ht="17.399999999999999" thickTop="1" thickBot="1">
      <c r="B2502" s="216">
        <v>249.599999999999</v>
      </c>
      <c r="T2502" s="270">
        <v>29.31</v>
      </c>
      <c r="U2502" s="270">
        <v>2.31</v>
      </c>
    </row>
    <row r="2503" spans="2:21" ht="17.399999999999999" thickTop="1" thickBot="1">
      <c r="B2503" s="103">
        <v>249.69999999999899</v>
      </c>
      <c r="T2503" s="270">
        <v>29.33</v>
      </c>
      <c r="U2503" s="270">
        <v>2.31</v>
      </c>
    </row>
    <row r="2504" spans="2:21" ht="17.399999999999999" thickTop="1" thickBot="1">
      <c r="B2504" s="216">
        <v>249.79999999999899</v>
      </c>
      <c r="T2504" s="270">
        <v>29.36</v>
      </c>
      <c r="U2504" s="270">
        <v>2.31</v>
      </c>
    </row>
    <row r="2505" spans="2:21" ht="17.399999999999999" thickTop="1" thickBot="1">
      <c r="B2505" s="103">
        <v>249.89999999999901</v>
      </c>
      <c r="T2505" s="270">
        <v>29.38</v>
      </c>
      <c r="U2505" s="270">
        <v>2.31</v>
      </c>
    </row>
    <row r="2506" spans="2:21" ht="17.399999999999999" thickTop="1" thickBot="1">
      <c r="B2506" s="216">
        <v>249.99999999999901</v>
      </c>
      <c r="T2506" s="270">
        <v>29.4</v>
      </c>
      <c r="U2506" s="270">
        <v>2.31</v>
      </c>
    </row>
    <row r="2507" spans="2:21" ht="17.399999999999999" thickTop="1" thickBot="1">
      <c r="B2507" s="103">
        <v>250.099999999999</v>
      </c>
      <c r="T2507" s="270">
        <v>29.43</v>
      </c>
      <c r="U2507" s="270">
        <v>2.31</v>
      </c>
    </row>
    <row r="2508" spans="2:21" ht="17.399999999999999" thickTop="1" thickBot="1">
      <c r="B2508" s="216">
        <v>250.19999999999899</v>
      </c>
      <c r="T2508" s="270">
        <v>29.45</v>
      </c>
      <c r="U2508" s="270">
        <v>2.3199999999999998</v>
      </c>
    </row>
    <row r="2509" spans="2:21" ht="17.399999999999999" thickTop="1" thickBot="1">
      <c r="B2509" s="103">
        <v>250.29999999999899</v>
      </c>
      <c r="T2509" s="270">
        <v>29.48</v>
      </c>
      <c r="U2509" s="270">
        <v>2.3199999999999998</v>
      </c>
    </row>
    <row r="2510" spans="2:21" ht="17.399999999999999" thickTop="1" thickBot="1">
      <c r="B2510" s="216">
        <v>250.39999999999901</v>
      </c>
      <c r="T2510" s="270">
        <v>29.5</v>
      </c>
      <c r="U2510" s="270">
        <v>2.3199999999999998</v>
      </c>
    </row>
    <row r="2511" spans="2:21" ht="17.399999999999999" thickTop="1" thickBot="1">
      <c r="B2511" s="103">
        <v>250.49999999999901</v>
      </c>
      <c r="T2511" s="270">
        <v>29.52</v>
      </c>
      <c r="U2511" s="270">
        <v>2.3199999999999998</v>
      </c>
    </row>
    <row r="2512" spans="2:21" ht="17.399999999999999" thickTop="1" thickBot="1">
      <c r="B2512" s="216">
        <v>250.599999999999</v>
      </c>
      <c r="T2512" s="270">
        <v>29.55</v>
      </c>
      <c r="U2512" s="270">
        <v>2.3199999999999998</v>
      </c>
    </row>
    <row r="2513" spans="2:21" ht="17.399999999999999" thickTop="1" thickBot="1">
      <c r="B2513" s="103">
        <v>250.69999999999899</v>
      </c>
      <c r="T2513" s="270">
        <v>29.57</v>
      </c>
      <c r="U2513" s="270">
        <v>2.33</v>
      </c>
    </row>
    <row r="2514" spans="2:21" ht="17.399999999999999" thickTop="1" thickBot="1">
      <c r="B2514" s="216">
        <v>250.79999999999899</v>
      </c>
      <c r="T2514" s="270">
        <v>29.59</v>
      </c>
      <c r="U2514" s="270">
        <v>2.33</v>
      </c>
    </row>
    <row r="2515" spans="2:21" ht="17.399999999999999" thickTop="1" thickBot="1">
      <c r="B2515" s="103">
        <v>250.89999999999901</v>
      </c>
      <c r="T2515" s="270">
        <v>29.62</v>
      </c>
      <c r="U2515" s="270">
        <v>2.33</v>
      </c>
    </row>
    <row r="2516" spans="2:21" ht="17.399999999999999" thickTop="1" thickBot="1">
      <c r="B2516" s="216">
        <v>250.99999999999901</v>
      </c>
      <c r="T2516" s="270">
        <v>29.64</v>
      </c>
      <c r="U2516" s="270">
        <v>2.33</v>
      </c>
    </row>
    <row r="2517" spans="2:21" ht="17.399999999999999" thickTop="1" thickBot="1">
      <c r="B2517" s="103">
        <v>251.099999999999</v>
      </c>
      <c r="T2517" s="270">
        <v>29.66</v>
      </c>
      <c r="U2517" s="270">
        <v>2.33</v>
      </c>
    </row>
    <row r="2518" spans="2:21" ht="17.399999999999999" thickTop="1" thickBot="1">
      <c r="B2518" s="216">
        <v>251.19999999999899</v>
      </c>
      <c r="T2518" s="270">
        <v>29.69</v>
      </c>
      <c r="U2518" s="270">
        <v>2.34</v>
      </c>
    </row>
    <row r="2519" spans="2:21" ht="17.399999999999999" thickTop="1" thickBot="1">
      <c r="B2519" s="103">
        <v>251.29999999999899</v>
      </c>
      <c r="T2519" s="270">
        <v>29.71</v>
      </c>
      <c r="U2519" s="270">
        <v>2.34</v>
      </c>
    </row>
    <row r="2520" spans="2:21" ht="17.399999999999999" thickTop="1" thickBot="1">
      <c r="B2520" s="216">
        <v>251.39999999999901</v>
      </c>
      <c r="T2520" s="270">
        <v>29.73</v>
      </c>
      <c r="U2520" s="270">
        <v>2.34</v>
      </c>
    </row>
    <row r="2521" spans="2:21" ht="17.399999999999999" thickTop="1" thickBot="1">
      <c r="B2521" s="103">
        <v>251.49999999999901</v>
      </c>
      <c r="T2521" s="270">
        <v>29.76</v>
      </c>
      <c r="U2521" s="270">
        <v>2.34</v>
      </c>
    </row>
    <row r="2522" spans="2:21" ht="17.399999999999999" thickTop="1" thickBot="1">
      <c r="B2522" s="216">
        <v>251.599999999999</v>
      </c>
      <c r="T2522" s="270">
        <v>29.78</v>
      </c>
      <c r="U2522" s="270">
        <v>2.34</v>
      </c>
    </row>
    <row r="2523" spans="2:21" ht="17.399999999999999" thickTop="1" thickBot="1">
      <c r="B2523" s="103">
        <v>251.69999999999899</v>
      </c>
      <c r="T2523" s="270">
        <v>29.81</v>
      </c>
      <c r="U2523" s="270">
        <v>2.34</v>
      </c>
    </row>
    <row r="2524" spans="2:21" ht="17.399999999999999" thickTop="1" thickBot="1">
      <c r="B2524" s="216">
        <v>251.79999999999899</v>
      </c>
      <c r="T2524" s="270">
        <v>29.83</v>
      </c>
      <c r="U2524" s="270">
        <v>2.35</v>
      </c>
    </row>
    <row r="2525" spans="2:21" ht="17.399999999999999" thickTop="1" thickBot="1">
      <c r="B2525" s="103">
        <v>251.89999999999901</v>
      </c>
      <c r="T2525" s="270">
        <v>29.85</v>
      </c>
      <c r="U2525" s="270">
        <v>2.35</v>
      </c>
    </row>
    <row r="2526" spans="2:21" ht="17.399999999999999" thickTop="1" thickBot="1">
      <c r="B2526" s="216">
        <v>251.99999999999901</v>
      </c>
      <c r="T2526" s="270">
        <v>29.88</v>
      </c>
      <c r="U2526" s="270">
        <v>2.35</v>
      </c>
    </row>
    <row r="2527" spans="2:21" ht="17.399999999999999" thickTop="1" thickBot="1">
      <c r="B2527" s="103">
        <v>252.099999999999</v>
      </c>
      <c r="T2527" s="270">
        <v>29.9</v>
      </c>
      <c r="U2527" s="270">
        <v>2.35</v>
      </c>
    </row>
    <row r="2528" spans="2:21" ht="17.399999999999999" thickTop="1" thickBot="1">
      <c r="B2528" s="216">
        <v>252.19999999999899</v>
      </c>
      <c r="T2528" s="270">
        <v>29.92</v>
      </c>
      <c r="U2528" s="270">
        <v>2.35</v>
      </c>
    </row>
    <row r="2529" spans="2:21" ht="17.399999999999999" thickTop="1" thickBot="1">
      <c r="B2529" s="103">
        <v>252.29999999999899</v>
      </c>
      <c r="T2529" s="270">
        <v>29.95</v>
      </c>
      <c r="U2529" s="270">
        <v>2.36</v>
      </c>
    </row>
    <row r="2530" spans="2:21" ht="17.399999999999999" thickTop="1" thickBot="1">
      <c r="B2530" s="216">
        <v>252.39999999999901</v>
      </c>
      <c r="T2530" s="270">
        <v>29.97</v>
      </c>
      <c r="U2530" s="270">
        <v>2.36</v>
      </c>
    </row>
    <row r="2531" spans="2:21" ht="17.399999999999999" thickTop="1" thickBot="1">
      <c r="B2531" s="103">
        <v>252.49999999999901</v>
      </c>
      <c r="T2531" s="270">
        <v>30</v>
      </c>
      <c r="U2531" s="270">
        <v>2.36</v>
      </c>
    </row>
    <row r="2532" spans="2:21" ht="17.399999999999999" thickTop="1" thickBot="1">
      <c r="B2532" s="216">
        <v>252.599999999999</v>
      </c>
      <c r="T2532" s="270">
        <v>30.02</v>
      </c>
      <c r="U2532" s="270">
        <v>2.36</v>
      </c>
    </row>
    <row r="2533" spans="2:21" ht="17.399999999999999" thickTop="1" thickBot="1">
      <c r="B2533" s="103">
        <v>252.69999999999899</v>
      </c>
      <c r="T2533" s="270">
        <v>30.04</v>
      </c>
      <c r="U2533" s="270">
        <v>2.36</v>
      </c>
    </row>
    <row r="2534" spans="2:21" ht="17.399999999999999" thickTop="1" thickBot="1">
      <c r="B2534" s="216">
        <v>252.79999999999899</v>
      </c>
      <c r="T2534" s="270">
        <v>30.07</v>
      </c>
      <c r="U2534" s="270">
        <v>2.36</v>
      </c>
    </row>
    <row r="2535" spans="2:21" ht="17.399999999999999" thickTop="1" thickBot="1">
      <c r="B2535" s="103">
        <v>252.89999999999901</v>
      </c>
      <c r="T2535" s="270">
        <v>30.09</v>
      </c>
      <c r="U2535" s="270">
        <v>2.37</v>
      </c>
    </row>
    <row r="2536" spans="2:21" ht="17.399999999999999" thickTop="1" thickBot="1">
      <c r="B2536" s="216">
        <v>252.99999999999901</v>
      </c>
      <c r="T2536" s="270">
        <v>30.11</v>
      </c>
      <c r="U2536" s="270">
        <v>2.37</v>
      </c>
    </row>
    <row r="2537" spans="2:21" ht="17.399999999999999" thickTop="1" thickBot="1">
      <c r="B2537" s="103">
        <v>253.099999999999</v>
      </c>
      <c r="T2537" s="270">
        <v>30.14</v>
      </c>
      <c r="U2537" s="270">
        <v>2.37</v>
      </c>
    </row>
    <row r="2538" spans="2:21" ht="17.399999999999999" thickTop="1" thickBot="1">
      <c r="B2538" s="216">
        <v>253.19999999999899</v>
      </c>
      <c r="T2538" s="270">
        <v>30.16</v>
      </c>
      <c r="U2538" s="270">
        <v>2.37</v>
      </c>
    </row>
    <row r="2539" spans="2:21" ht="17.399999999999999" thickTop="1" thickBot="1">
      <c r="B2539" s="103">
        <v>253.29999999999899</v>
      </c>
      <c r="T2539" s="270">
        <v>30.19</v>
      </c>
      <c r="U2539" s="270">
        <v>2.37</v>
      </c>
    </row>
    <row r="2540" spans="2:21" ht="17.399999999999999" thickTop="1" thickBot="1">
      <c r="B2540" s="216">
        <v>253.39999999999901</v>
      </c>
      <c r="T2540" s="270">
        <v>30.21</v>
      </c>
      <c r="U2540" s="270">
        <v>2.38</v>
      </c>
    </row>
    <row r="2541" spans="2:21" ht="17.399999999999999" thickTop="1" thickBot="1">
      <c r="B2541" s="103">
        <v>253.49999999999901</v>
      </c>
      <c r="T2541" s="270">
        <v>30.23</v>
      </c>
      <c r="U2541" s="270">
        <v>2.38</v>
      </c>
    </row>
    <row r="2542" spans="2:21" ht="17.399999999999999" thickTop="1" thickBot="1">
      <c r="B2542" s="216">
        <v>253.599999999999</v>
      </c>
      <c r="T2542" s="270">
        <v>30.26</v>
      </c>
      <c r="U2542" s="270">
        <v>2.38</v>
      </c>
    </row>
    <row r="2543" spans="2:21" ht="17.399999999999999" thickTop="1" thickBot="1">
      <c r="B2543" s="103">
        <v>253.69999999999899</v>
      </c>
      <c r="T2543" s="270">
        <v>30.28</v>
      </c>
      <c r="U2543" s="270">
        <v>2.38</v>
      </c>
    </row>
    <row r="2544" spans="2:21" ht="17.399999999999999" thickTop="1" thickBot="1">
      <c r="B2544" s="216">
        <v>253.79999999999899</v>
      </c>
      <c r="T2544" s="270">
        <v>30.31</v>
      </c>
      <c r="U2544" s="270">
        <v>2.38</v>
      </c>
    </row>
    <row r="2545" spans="2:21" ht="17.399999999999999" thickTop="1" thickBot="1">
      <c r="B2545" s="103">
        <v>253.89999999999901</v>
      </c>
      <c r="T2545" s="270">
        <v>30.33</v>
      </c>
      <c r="U2545" s="270">
        <v>2.39</v>
      </c>
    </row>
    <row r="2546" spans="2:21" ht="17.399999999999999" thickTop="1" thickBot="1">
      <c r="B2546" s="216">
        <v>253.99999999999901</v>
      </c>
      <c r="T2546" s="270">
        <v>30.35</v>
      </c>
      <c r="U2546" s="270">
        <v>2.39</v>
      </c>
    </row>
    <row r="2547" spans="2:21" ht="17.399999999999999" thickTop="1" thickBot="1">
      <c r="B2547" s="103">
        <v>254.099999999999</v>
      </c>
      <c r="T2547" s="270">
        <v>30.38</v>
      </c>
      <c r="U2547" s="270">
        <v>2.39</v>
      </c>
    </row>
    <row r="2548" spans="2:21" ht="17.399999999999999" thickTop="1" thickBot="1">
      <c r="B2548" s="216">
        <v>254.19999999999899</v>
      </c>
      <c r="T2548" s="270">
        <v>30.4</v>
      </c>
      <c r="U2548" s="270">
        <v>2.39</v>
      </c>
    </row>
    <row r="2549" spans="2:21" ht="17.399999999999999" thickTop="1" thickBot="1">
      <c r="B2549" s="103">
        <v>254.29999999999899</v>
      </c>
      <c r="T2549" s="270">
        <v>30.42</v>
      </c>
      <c r="U2549" s="270">
        <v>2.39</v>
      </c>
    </row>
    <row r="2550" spans="2:21" ht="17.399999999999999" thickTop="1" thickBot="1">
      <c r="B2550" s="216">
        <v>254.39999999999901</v>
      </c>
      <c r="T2550" s="270">
        <v>30.45</v>
      </c>
      <c r="U2550" s="270">
        <v>2.39</v>
      </c>
    </row>
    <row r="2551" spans="2:21" ht="17.399999999999999" thickTop="1" thickBot="1">
      <c r="B2551" s="103">
        <v>254.49999999999901</v>
      </c>
      <c r="T2551" s="270">
        <v>30.47</v>
      </c>
      <c r="U2551" s="270">
        <v>2.4</v>
      </c>
    </row>
    <row r="2552" spans="2:21" ht="17.399999999999999" thickTop="1" thickBot="1">
      <c r="B2552" s="216">
        <v>254.599999999999</v>
      </c>
      <c r="T2552" s="270">
        <v>30.5</v>
      </c>
      <c r="U2552" s="270">
        <v>2.4</v>
      </c>
    </row>
    <row r="2553" spans="2:21" ht="17.399999999999999" thickTop="1" thickBot="1">
      <c r="B2553" s="103">
        <v>254.69999999999899</v>
      </c>
      <c r="T2553" s="270">
        <v>30.52</v>
      </c>
      <c r="U2553" s="270">
        <v>2.4</v>
      </c>
    </row>
    <row r="2554" spans="2:21" ht="17.399999999999999" thickTop="1" thickBot="1">
      <c r="B2554" s="216">
        <v>254.79999999999899</v>
      </c>
      <c r="T2554" s="270">
        <v>30.54</v>
      </c>
      <c r="U2554" s="270">
        <v>2.4</v>
      </c>
    </row>
    <row r="2555" spans="2:21" ht="17.399999999999999" thickTop="1" thickBot="1">
      <c r="B2555" s="103">
        <v>254.89999999999901</v>
      </c>
      <c r="T2555" s="270">
        <v>30.57</v>
      </c>
      <c r="U2555" s="270">
        <v>2.4</v>
      </c>
    </row>
    <row r="2556" spans="2:21" ht="17.399999999999999" thickTop="1" thickBot="1">
      <c r="B2556" s="216">
        <v>254.99999999999901</v>
      </c>
      <c r="T2556" s="270">
        <v>30.59</v>
      </c>
      <c r="U2556" s="270">
        <v>2.41</v>
      </c>
    </row>
    <row r="2557" spans="2:21" ht="17.399999999999999" thickTop="1" thickBot="1">
      <c r="B2557" s="103">
        <v>255.099999999999</v>
      </c>
      <c r="T2557" s="270">
        <v>30.62</v>
      </c>
      <c r="U2557" s="270">
        <v>2.41</v>
      </c>
    </row>
    <row r="2558" spans="2:21" ht="17.399999999999999" thickTop="1" thickBot="1">
      <c r="B2558" s="216">
        <v>255.19999999999899</v>
      </c>
      <c r="T2558" s="270">
        <v>30.64</v>
      </c>
      <c r="U2558" s="270">
        <v>2.41</v>
      </c>
    </row>
    <row r="2559" spans="2:21" ht="17.399999999999999" thickTop="1" thickBot="1">
      <c r="B2559" s="103">
        <v>255.29999999999899</v>
      </c>
      <c r="T2559" s="270">
        <v>30.66</v>
      </c>
      <c r="U2559" s="270">
        <v>2.41</v>
      </c>
    </row>
    <row r="2560" spans="2:21" ht="17.399999999999999" thickTop="1" thickBot="1">
      <c r="B2560" s="216">
        <v>255.39999999999901</v>
      </c>
      <c r="T2560" s="270">
        <v>30.69</v>
      </c>
      <c r="U2560" s="270">
        <v>2.41</v>
      </c>
    </row>
    <row r="2561" spans="2:21" ht="17.399999999999999" thickTop="1" thickBot="1">
      <c r="B2561" s="103">
        <v>255.49999999999901</v>
      </c>
      <c r="T2561" s="270">
        <v>30.71</v>
      </c>
      <c r="U2561" s="270">
        <v>2.42</v>
      </c>
    </row>
    <row r="2562" spans="2:21" ht="17.399999999999999" thickTop="1" thickBot="1">
      <c r="B2562" s="216">
        <v>255.599999999999</v>
      </c>
      <c r="T2562" s="270">
        <v>30.74</v>
      </c>
      <c r="U2562" s="270">
        <v>2.42</v>
      </c>
    </row>
    <row r="2563" spans="2:21" ht="17.399999999999999" thickTop="1" thickBot="1">
      <c r="B2563" s="103">
        <v>255.69999999999899</v>
      </c>
      <c r="T2563" s="270">
        <v>30.76</v>
      </c>
      <c r="U2563" s="270">
        <v>2.42</v>
      </c>
    </row>
    <row r="2564" spans="2:21" ht="17.399999999999999" thickTop="1" thickBot="1">
      <c r="B2564" s="216">
        <v>255.79999999999899</v>
      </c>
      <c r="T2564" s="270">
        <v>30.78</v>
      </c>
      <c r="U2564" s="270">
        <v>2.42</v>
      </c>
    </row>
    <row r="2565" spans="2:21" ht="17.399999999999999" thickTop="1" thickBot="1">
      <c r="B2565" s="103">
        <v>255.89999999999901</v>
      </c>
      <c r="T2565" s="270">
        <v>30.81</v>
      </c>
      <c r="U2565" s="270">
        <v>2.42</v>
      </c>
    </row>
    <row r="2566" spans="2:21" ht="17.399999999999999" thickTop="1" thickBot="1">
      <c r="B2566" s="216">
        <v>255.99999999999901</v>
      </c>
      <c r="T2566" s="270">
        <v>30.83</v>
      </c>
      <c r="U2566" s="270">
        <v>2.4300000000000002</v>
      </c>
    </row>
    <row r="2567" spans="2:21" ht="17.399999999999999" thickTop="1" thickBot="1">
      <c r="B2567" s="103">
        <v>256.099999999999</v>
      </c>
      <c r="T2567" s="270">
        <v>30.86</v>
      </c>
      <c r="U2567" s="270">
        <v>2.4300000000000002</v>
      </c>
    </row>
    <row r="2568" spans="2:21" ht="17.399999999999999" thickTop="1" thickBot="1">
      <c r="B2568" s="216">
        <v>256.19999999999902</v>
      </c>
      <c r="T2568" s="270">
        <v>30.88</v>
      </c>
      <c r="U2568" s="270">
        <v>2.4300000000000002</v>
      </c>
    </row>
    <row r="2569" spans="2:21" ht="17.399999999999999" thickTop="1" thickBot="1">
      <c r="B2569" s="103">
        <v>256.29999999999899</v>
      </c>
      <c r="T2569" s="270">
        <v>30.91</v>
      </c>
      <c r="U2569" s="270">
        <v>2.4300000000000002</v>
      </c>
    </row>
    <row r="2570" spans="2:21" ht="17.399999999999999" thickTop="1" thickBot="1">
      <c r="B2570" s="216">
        <v>256.39999999999901</v>
      </c>
      <c r="T2570" s="270">
        <v>30.93</v>
      </c>
      <c r="U2570" s="270">
        <v>2.4300000000000002</v>
      </c>
    </row>
    <row r="2571" spans="2:21" ht="17.399999999999999" thickTop="1" thickBot="1">
      <c r="B2571" s="103">
        <v>256.49999999999898</v>
      </c>
      <c r="T2571" s="270">
        <v>30.95</v>
      </c>
      <c r="U2571" s="270">
        <v>2.4300000000000002</v>
      </c>
    </row>
    <row r="2572" spans="2:21" ht="17.399999999999999" thickTop="1" thickBot="1">
      <c r="B2572" s="216">
        <v>256.599999999999</v>
      </c>
      <c r="T2572" s="270">
        <v>30.98</v>
      </c>
      <c r="U2572" s="270">
        <v>2.44</v>
      </c>
    </row>
    <row r="2573" spans="2:21" ht="17.399999999999999" thickTop="1" thickBot="1">
      <c r="B2573" s="103">
        <v>256.69999999999902</v>
      </c>
      <c r="T2573" s="270">
        <v>31</v>
      </c>
      <c r="U2573" s="270">
        <v>2.44</v>
      </c>
    </row>
    <row r="2574" spans="2:21" ht="17.399999999999999" thickTop="1" thickBot="1">
      <c r="B2574" s="216">
        <v>256.79999999999899</v>
      </c>
      <c r="T2574" s="270">
        <v>31.03</v>
      </c>
      <c r="U2574" s="270">
        <v>2.44</v>
      </c>
    </row>
    <row r="2575" spans="2:21" ht="17.399999999999999" thickTop="1" thickBot="1">
      <c r="B2575" s="103">
        <v>256.89999999999901</v>
      </c>
      <c r="T2575" s="270">
        <v>31.05</v>
      </c>
      <c r="U2575" s="270">
        <v>2.44</v>
      </c>
    </row>
    <row r="2576" spans="2:21" ht="17.399999999999999" thickTop="1" thickBot="1">
      <c r="B2576" s="216">
        <v>256.99999999999898</v>
      </c>
      <c r="T2576" s="270">
        <v>31.07</v>
      </c>
      <c r="U2576" s="270">
        <v>2.44</v>
      </c>
    </row>
    <row r="2577" spans="2:21" ht="17.399999999999999" thickTop="1" thickBot="1">
      <c r="B2577" s="103">
        <v>257.099999999999</v>
      </c>
      <c r="T2577" s="270">
        <v>31.1</v>
      </c>
      <c r="U2577" s="270">
        <v>2.4500000000000002</v>
      </c>
    </row>
    <row r="2578" spans="2:21" ht="17.399999999999999" thickTop="1" thickBot="1">
      <c r="B2578" s="216">
        <v>257.19999999999902</v>
      </c>
      <c r="T2578" s="270">
        <v>31.12</v>
      </c>
      <c r="U2578" s="270">
        <v>2.4500000000000002</v>
      </c>
    </row>
    <row r="2579" spans="2:21" ht="17.399999999999999" thickTop="1" thickBot="1">
      <c r="B2579" s="103">
        <v>257.29999999999899</v>
      </c>
      <c r="T2579" s="270">
        <v>31.15</v>
      </c>
      <c r="U2579" s="270">
        <v>2.4500000000000002</v>
      </c>
    </row>
    <row r="2580" spans="2:21" ht="17.399999999999999" thickTop="1" thickBot="1">
      <c r="B2580" s="216">
        <v>257.39999999999901</v>
      </c>
      <c r="T2580" s="270">
        <v>31.17</v>
      </c>
      <c r="U2580" s="270">
        <v>2.4500000000000002</v>
      </c>
    </row>
    <row r="2581" spans="2:21" ht="17.399999999999999" thickTop="1" thickBot="1">
      <c r="B2581" s="103">
        <v>257.49999999999898</v>
      </c>
      <c r="T2581" s="270">
        <v>31.2</v>
      </c>
      <c r="U2581" s="270">
        <v>2.4500000000000002</v>
      </c>
    </row>
    <row r="2582" spans="2:21" ht="17.399999999999999" thickTop="1" thickBot="1">
      <c r="B2582" s="216">
        <v>257.599999999999</v>
      </c>
      <c r="T2582" s="270">
        <v>31.22</v>
      </c>
      <c r="U2582" s="270">
        <v>2.46</v>
      </c>
    </row>
    <row r="2583" spans="2:21" ht="17.399999999999999" thickTop="1" thickBot="1">
      <c r="B2583" s="103">
        <v>257.69999999999902</v>
      </c>
      <c r="T2583" s="270">
        <v>31.24</v>
      </c>
      <c r="U2583" s="270">
        <v>2.46</v>
      </c>
    </row>
    <row r="2584" spans="2:21" ht="17.399999999999999" thickTop="1" thickBot="1">
      <c r="B2584" s="216">
        <v>257.79999999999899</v>
      </c>
      <c r="T2584" s="270">
        <v>31.27</v>
      </c>
      <c r="U2584" s="270">
        <v>2.46</v>
      </c>
    </row>
    <row r="2585" spans="2:21" ht="17.399999999999999" thickTop="1" thickBot="1">
      <c r="B2585" s="103">
        <v>257.89999999999901</v>
      </c>
      <c r="T2585" s="270">
        <v>31.29</v>
      </c>
      <c r="U2585" s="270">
        <v>2.46</v>
      </c>
    </row>
    <row r="2586" spans="2:21" ht="17.399999999999999" thickTop="1" thickBot="1">
      <c r="B2586" s="216">
        <v>257.99999999999898</v>
      </c>
      <c r="T2586" s="270">
        <v>31.32</v>
      </c>
      <c r="U2586" s="270">
        <v>2.46</v>
      </c>
    </row>
    <row r="2587" spans="2:21" ht="17.399999999999999" thickTop="1" thickBot="1">
      <c r="B2587" s="103">
        <v>258.099999999999</v>
      </c>
      <c r="T2587" s="270">
        <v>31.34</v>
      </c>
      <c r="U2587" s="270">
        <v>2.4700000000000002</v>
      </c>
    </row>
    <row r="2588" spans="2:21" ht="17.399999999999999" thickTop="1" thickBot="1">
      <c r="B2588" s="216">
        <v>258.19999999999902</v>
      </c>
      <c r="T2588" s="270">
        <v>31.37</v>
      </c>
      <c r="U2588" s="270">
        <v>2.4700000000000002</v>
      </c>
    </row>
    <row r="2589" spans="2:21" ht="17.399999999999999" thickTop="1" thickBot="1">
      <c r="B2589" s="103">
        <v>258.29999999999899</v>
      </c>
      <c r="T2589" s="270">
        <v>31.39</v>
      </c>
      <c r="U2589" s="270">
        <v>2.4700000000000002</v>
      </c>
    </row>
    <row r="2590" spans="2:21" ht="17.399999999999999" thickTop="1" thickBot="1">
      <c r="B2590" s="216">
        <v>258.39999999999901</v>
      </c>
      <c r="T2590" s="270">
        <v>31.41</v>
      </c>
      <c r="U2590" s="270">
        <v>2.4700000000000002</v>
      </c>
    </row>
    <row r="2591" spans="2:21" ht="17.399999999999999" thickTop="1" thickBot="1">
      <c r="B2591" s="103">
        <v>258.49999999999898</v>
      </c>
      <c r="T2591" s="270">
        <v>31.44</v>
      </c>
      <c r="U2591" s="270">
        <v>2.4700000000000002</v>
      </c>
    </row>
    <row r="2592" spans="2:21" ht="17.399999999999999" thickTop="1" thickBot="1">
      <c r="B2592" s="216">
        <v>258.599999999999</v>
      </c>
      <c r="T2592" s="270">
        <v>31.46</v>
      </c>
      <c r="U2592" s="270">
        <v>2.4700000000000002</v>
      </c>
    </row>
    <row r="2593" spans="2:21" ht="17.399999999999999" thickTop="1" thickBot="1">
      <c r="B2593" s="103">
        <v>258.69999999999902</v>
      </c>
      <c r="T2593" s="270">
        <v>31.49</v>
      </c>
      <c r="U2593" s="270">
        <v>2.48</v>
      </c>
    </row>
    <row r="2594" spans="2:21" ht="17.399999999999999" thickTop="1" thickBot="1">
      <c r="B2594" s="216">
        <v>258.79999999999899</v>
      </c>
      <c r="T2594" s="270">
        <v>31.51</v>
      </c>
      <c r="U2594" s="270">
        <v>2.48</v>
      </c>
    </row>
    <row r="2595" spans="2:21" ht="17.399999999999999" thickTop="1" thickBot="1">
      <c r="B2595" s="103">
        <v>258.89999999999901</v>
      </c>
      <c r="T2595" s="270">
        <v>31.54</v>
      </c>
      <c r="U2595" s="270">
        <v>2.48</v>
      </c>
    </row>
    <row r="2596" spans="2:21" ht="17.399999999999999" thickTop="1" thickBot="1">
      <c r="B2596" s="216">
        <v>258.99999999999898</v>
      </c>
      <c r="T2596" s="270">
        <v>31.56</v>
      </c>
      <c r="U2596" s="270">
        <v>2.48</v>
      </c>
    </row>
    <row r="2597" spans="2:21" ht="17.399999999999999" thickTop="1" thickBot="1">
      <c r="B2597" s="103">
        <v>259.099999999999</v>
      </c>
      <c r="T2597" s="270">
        <v>31.58</v>
      </c>
      <c r="U2597" s="270">
        <v>2.48</v>
      </c>
    </row>
    <row r="2598" spans="2:21" ht="17.399999999999999" thickTop="1" thickBot="1">
      <c r="B2598" s="216">
        <v>259.19999999999902</v>
      </c>
      <c r="T2598" s="270">
        <v>31.61</v>
      </c>
      <c r="U2598" s="270">
        <v>2.4900000000000002</v>
      </c>
    </row>
    <row r="2599" spans="2:21" ht="17.399999999999999" thickTop="1" thickBot="1">
      <c r="B2599" s="103">
        <v>259.29999999999899</v>
      </c>
      <c r="T2599" s="270">
        <v>31.63</v>
      </c>
      <c r="U2599" s="270">
        <v>2.4900000000000002</v>
      </c>
    </row>
    <row r="2600" spans="2:21" ht="17.399999999999999" thickTop="1" thickBot="1">
      <c r="B2600" s="216">
        <v>259.39999999999901</v>
      </c>
      <c r="T2600" s="270">
        <v>31.66</v>
      </c>
      <c r="U2600" s="270">
        <v>2.4900000000000002</v>
      </c>
    </row>
    <row r="2601" spans="2:21" ht="17.399999999999999" thickTop="1" thickBot="1">
      <c r="B2601" s="103">
        <v>259.49999999999898</v>
      </c>
      <c r="T2601" s="270">
        <v>31.68</v>
      </c>
      <c r="U2601" s="270">
        <v>2.4900000000000002</v>
      </c>
    </row>
    <row r="2602" spans="2:21" ht="17.399999999999999" thickTop="1" thickBot="1">
      <c r="B2602" s="216">
        <v>259.599999999999</v>
      </c>
      <c r="T2602" s="270">
        <v>31.71</v>
      </c>
      <c r="U2602" s="270">
        <v>2.4900000000000002</v>
      </c>
    </row>
    <row r="2603" spans="2:21" ht="17.399999999999999" thickTop="1" thickBot="1">
      <c r="B2603" s="103">
        <v>259.69999999999902</v>
      </c>
      <c r="T2603" s="270">
        <v>31.73</v>
      </c>
      <c r="U2603" s="270">
        <v>2.5</v>
      </c>
    </row>
    <row r="2604" spans="2:21" ht="17.399999999999999" thickTop="1" thickBot="1">
      <c r="B2604" s="216">
        <v>259.79999999999899</v>
      </c>
      <c r="T2604" s="270">
        <v>31.75</v>
      </c>
      <c r="U2604" s="270">
        <v>2.5</v>
      </c>
    </row>
    <row r="2605" spans="2:21" ht="17.399999999999999" thickTop="1" thickBot="1">
      <c r="B2605" s="103">
        <v>259.89999999999901</v>
      </c>
      <c r="T2605" s="270">
        <v>31.78</v>
      </c>
      <c r="U2605" s="270">
        <v>2.5</v>
      </c>
    </row>
    <row r="2606" spans="2:21" ht="17.399999999999999" thickTop="1" thickBot="1">
      <c r="B2606" s="216">
        <v>259.99999999999898</v>
      </c>
      <c r="T2606" s="270">
        <v>31.8</v>
      </c>
      <c r="U2606" s="270">
        <v>2.5</v>
      </c>
    </row>
    <row r="2607" spans="2:21" ht="17.399999999999999" thickTop="1" thickBot="1">
      <c r="B2607" s="103">
        <v>260.099999999999</v>
      </c>
      <c r="T2607" s="270">
        <v>31.83</v>
      </c>
      <c r="U2607" s="270">
        <v>2.5</v>
      </c>
    </row>
    <row r="2608" spans="2:21" ht="17.399999999999999" thickTop="1" thickBot="1">
      <c r="B2608" s="216">
        <v>260.19999999999902</v>
      </c>
      <c r="T2608" s="270">
        <v>31.85</v>
      </c>
      <c r="U2608" s="270">
        <v>2.5099999999999998</v>
      </c>
    </row>
    <row r="2609" spans="2:21" ht="17.399999999999999" thickTop="1" thickBot="1">
      <c r="B2609" s="103">
        <v>260.29999999999899</v>
      </c>
      <c r="T2609" s="270">
        <v>31.88</v>
      </c>
      <c r="U2609" s="270">
        <v>2.5099999999999998</v>
      </c>
    </row>
    <row r="2610" spans="2:21" ht="17.399999999999999" thickTop="1" thickBot="1">
      <c r="B2610" s="216">
        <v>260.39999999999901</v>
      </c>
      <c r="T2610" s="270">
        <v>31.9</v>
      </c>
      <c r="U2610" s="270">
        <v>2.5099999999999998</v>
      </c>
    </row>
    <row r="2611" spans="2:21" ht="17.399999999999999" thickTop="1" thickBot="1">
      <c r="B2611" s="103">
        <v>260.49999999999898</v>
      </c>
      <c r="T2611" s="270">
        <v>31.93</v>
      </c>
      <c r="U2611" s="270">
        <v>2.5099999999999998</v>
      </c>
    </row>
    <row r="2612" spans="2:21" ht="17.399999999999999" thickTop="1" thickBot="1">
      <c r="B2612" s="216">
        <v>260.599999999999</v>
      </c>
      <c r="T2612" s="270">
        <v>31.95</v>
      </c>
      <c r="U2612" s="270">
        <v>2.5099999999999998</v>
      </c>
    </row>
    <row r="2613" spans="2:21" ht="17.399999999999999" thickTop="1" thickBot="1">
      <c r="B2613" s="103">
        <v>260.69999999999902</v>
      </c>
      <c r="T2613" s="270">
        <v>31.98</v>
      </c>
      <c r="U2613" s="270">
        <v>2.5099999999999998</v>
      </c>
    </row>
    <row r="2614" spans="2:21" ht="17.399999999999999" thickTop="1" thickBot="1">
      <c r="B2614" s="216">
        <v>260.79999999999899</v>
      </c>
      <c r="T2614" s="270">
        <v>32</v>
      </c>
      <c r="U2614" s="270">
        <v>2.52</v>
      </c>
    </row>
    <row r="2615" spans="2:21" ht="17.399999999999999" thickTop="1" thickBot="1">
      <c r="B2615" s="103">
        <v>260.89999999999901</v>
      </c>
      <c r="T2615" s="270">
        <v>32.020000000000003</v>
      </c>
      <c r="U2615" s="270">
        <v>2.52</v>
      </c>
    </row>
    <row r="2616" spans="2:21" ht="17.399999999999999" thickTop="1" thickBot="1">
      <c r="B2616" s="216">
        <v>260.99999999999898</v>
      </c>
      <c r="T2616" s="270">
        <v>32.049999999999997</v>
      </c>
      <c r="U2616" s="270">
        <v>2.52</v>
      </c>
    </row>
    <row r="2617" spans="2:21" ht="17.399999999999999" thickTop="1" thickBot="1">
      <c r="B2617" s="103">
        <v>261.099999999999</v>
      </c>
      <c r="T2617" s="270">
        <v>32.07</v>
      </c>
      <c r="U2617" s="270">
        <v>2.52</v>
      </c>
    </row>
    <row r="2618" spans="2:21" ht="17.399999999999999" thickTop="1" thickBot="1">
      <c r="B2618" s="216">
        <v>261.19999999999902</v>
      </c>
      <c r="T2618" s="270">
        <v>32.1</v>
      </c>
      <c r="U2618" s="270">
        <v>2.52</v>
      </c>
    </row>
    <row r="2619" spans="2:21" ht="17.399999999999999" thickTop="1" thickBot="1">
      <c r="B2619" s="103">
        <v>261.29999999999899</v>
      </c>
      <c r="T2619" s="270">
        <v>32.119999999999997</v>
      </c>
      <c r="U2619" s="270">
        <v>2.5299999999999998</v>
      </c>
    </row>
    <row r="2620" spans="2:21" ht="17.399999999999999" thickTop="1" thickBot="1">
      <c r="B2620" s="216">
        <v>261.39999999999901</v>
      </c>
      <c r="T2620" s="270">
        <v>32.15</v>
      </c>
      <c r="U2620" s="270">
        <v>2.5299999999999998</v>
      </c>
    </row>
    <row r="2621" spans="2:21" ht="17.399999999999999" thickTop="1" thickBot="1">
      <c r="B2621" s="103">
        <v>261.49999999999898</v>
      </c>
      <c r="T2621" s="270">
        <v>32.17</v>
      </c>
      <c r="U2621" s="270">
        <v>2.5299999999999998</v>
      </c>
    </row>
    <row r="2622" spans="2:21" ht="17.399999999999999" thickTop="1" thickBot="1">
      <c r="B2622" s="216">
        <v>261.599999999999</v>
      </c>
      <c r="T2622" s="270">
        <v>32.200000000000003</v>
      </c>
      <c r="U2622" s="270">
        <v>2.5299999999999998</v>
      </c>
    </row>
    <row r="2623" spans="2:21" ht="17.399999999999999" thickTop="1" thickBot="1">
      <c r="B2623" s="103">
        <v>261.69999999999902</v>
      </c>
      <c r="T2623" s="270">
        <v>32.22</v>
      </c>
      <c r="U2623" s="270">
        <v>2.5299999999999998</v>
      </c>
    </row>
    <row r="2624" spans="2:21" ht="17.399999999999999" thickTop="1" thickBot="1">
      <c r="B2624" s="216">
        <v>261.79999999999899</v>
      </c>
      <c r="T2624" s="270">
        <v>32.25</v>
      </c>
      <c r="U2624" s="270">
        <v>2.54</v>
      </c>
    </row>
    <row r="2625" spans="2:21" ht="17.399999999999999" thickTop="1" thickBot="1">
      <c r="B2625" s="103">
        <v>261.89999999999901</v>
      </c>
      <c r="T2625" s="270">
        <v>32.270000000000003</v>
      </c>
      <c r="U2625" s="270">
        <v>2.54</v>
      </c>
    </row>
    <row r="2626" spans="2:21" ht="17.399999999999999" thickTop="1" thickBot="1">
      <c r="B2626" s="216">
        <v>261.99999999999898</v>
      </c>
      <c r="T2626" s="270">
        <v>32.299999999999997</v>
      </c>
      <c r="U2626" s="270">
        <v>2.54</v>
      </c>
    </row>
    <row r="2627" spans="2:21" ht="17.399999999999999" thickTop="1" thickBot="1">
      <c r="B2627" s="103">
        <v>262.099999999999</v>
      </c>
      <c r="T2627" s="270">
        <v>32.32</v>
      </c>
      <c r="U2627" s="270">
        <v>2.54</v>
      </c>
    </row>
    <row r="2628" spans="2:21" ht="17.399999999999999" thickTop="1" thickBot="1">
      <c r="B2628" s="216">
        <v>262.19999999999902</v>
      </c>
      <c r="T2628" s="270">
        <v>32.340000000000003</v>
      </c>
      <c r="U2628" s="270">
        <v>2.54</v>
      </c>
    </row>
    <row r="2629" spans="2:21" ht="17.399999999999999" thickTop="1" thickBot="1">
      <c r="B2629" s="103">
        <v>262.29999999999899</v>
      </c>
      <c r="T2629" s="270">
        <v>32.369999999999997</v>
      </c>
      <c r="U2629" s="270">
        <v>2.5499999999999998</v>
      </c>
    </row>
    <row r="2630" spans="2:21" ht="17.399999999999999" thickTop="1" thickBot="1">
      <c r="B2630" s="216">
        <v>262.39999999999901</v>
      </c>
      <c r="T2630" s="270">
        <v>32.39</v>
      </c>
      <c r="U2630" s="270">
        <v>2.5499999999999998</v>
      </c>
    </row>
    <row r="2631" spans="2:21" ht="17.399999999999999" thickTop="1" thickBot="1">
      <c r="B2631" s="103">
        <v>262.49999999999898</v>
      </c>
      <c r="T2631" s="270">
        <v>32.42</v>
      </c>
      <c r="U2631" s="270">
        <v>2.5499999999999998</v>
      </c>
    </row>
    <row r="2632" spans="2:21" ht="17.399999999999999" thickTop="1" thickBot="1">
      <c r="B2632" s="216">
        <v>262.599999999999</v>
      </c>
      <c r="T2632" s="270">
        <v>32.44</v>
      </c>
      <c r="U2632" s="270">
        <v>2.5499999999999998</v>
      </c>
    </row>
    <row r="2633" spans="2:21" ht="17.399999999999999" thickTop="1" thickBot="1">
      <c r="B2633" s="103">
        <v>262.69999999999902</v>
      </c>
      <c r="T2633" s="270">
        <v>32.47</v>
      </c>
      <c r="U2633" s="270">
        <v>2.5499999999999998</v>
      </c>
    </row>
    <row r="2634" spans="2:21" ht="17.399999999999999" thickTop="1" thickBot="1">
      <c r="B2634" s="216">
        <v>262.79999999999899</v>
      </c>
      <c r="T2634" s="270">
        <v>32.49</v>
      </c>
      <c r="U2634" s="270">
        <v>2.56</v>
      </c>
    </row>
    <row r="2635" spans="2:21" ht="17.399999999999999" thickTop="1" thickBot="1">
      <c r="B2635" s="103">
        <v>262.89999999999901</v>
      </c>
      <c r="T2635" s="270">
        <v>32.520000000000003</v>
      </c>
      <c r="U2635" s="270">
        <v>2.56</v>
      </c>
    </row>
    <row r="2636" spans="2:21" ht="17.399999999999999" thickTop="1" thickBot="1">
      <c r="B2636" s="216">
        <v>262.99999999999898</v>
      </c>
      <c r="T2636" s="270">
        <v>32.54</v>
      </c>
      <c r="U2636" s="270">
        <v>2.56</v>
      </c>
    </row>
    <row r="2637" spans="2:21" ht="17.399999999999999" thickTop="1" thickBot="1">
      <c r="B2637" s="103">
        <v>263.099999999999</v>
      </c>
      <c r="T2637" s="270">
        <v>32.57</v>
      </c>
      <c r="U2637" s="270">
        <v>2.56</v>
      </c>
    </row>
    <row r="2638" spans="2:21" ht="17.399999999999999" thickTop="1" thickBot="1">
      <c r="B2638" s="216">
        <v>263.19999999999902</v>
      </c>
      <c r="T2638" s="270">
        <v>32.590000000000003</v>
      </c>
      <c r="U2638" s="270">
        <v>2.56</v>
      </c>
    </row>
    <row r="2639" spans="2:21" ht="17.399999999999999" thickTop="1" thickBot="1">
      <c r="B2639" s="103">
        <v>263.29999999999899</v>
      </c>
      <c r="T2639" s="270">
        <v>32.619999999999997</v>
      </c>
      <c r="U2639" s="270">
        <v>2.57</v>
      </c>
    </row>
    <row r="2640" spans="2:21" ht="17.399999999999999" thickTop="1" thickBot="1">
      <c r="B2640" s="216">
        <v>263.39999999999901</v>
      </c>
      <c r="T2640" s="270">
        <v>32.64</v>
      </c>
      <c r="U2640" s="270">
        <v>2.57</v>
      </c>
    </row>
    <row r="2641" spans="2:21" ht="17.399999999999999" thickTop="1" thickBot="1">
      <c r="B2641" s="103">
        <v>263.49999999999898</v>
      </c>
      <c r="T2641" s="270">
        <v>32.67</v>
      </c>
      <c r="U2641" s="270">
        <v>2.57</v>
      </c>
    </row>
    <row r="2642" spans="2:21" ht="17.399999999999999" thickTop="1" thickBot="1">
      <c r="B2642" s="216">
        <v>263.599999999999</v>
      </c>
      <c r="T2642" s="270">
        <v>32.69</v>
      </c>
      <c r="U2642" s="270">
        <v>2.57</v>
      </c>
    </row>
    <row r="2643" spans="2:21" ht="17.399999999999999" thickTop="1" thickBot="1">
      <c r="B2643" s="103">
        <v>263.69999999999902</v>
      </c>
      <c r="T2643" s="270">
        <v>32.72</v>
      </c>
      <c r="U2643" s="270">
        <v>2.57</v>
      </c>
    </row>
    <row r="2644" spans="2:21" ht="17.399999999999999" thickTop="1" thickBot="1">
      <c r="B2644" s="216">
        <v>263.79999999999899</v>
      </c>
      <c r="T2644" s="270">
        <v>32.74</v>
      </c>
      <c r="U2644" s="270">
        <v>2.58</v>
      </c>
    </row>
    <row r="2645" spans="2:21" ht="17.399999999999999" thickTop="1" thickBot="1">
      <c r="B2645" s="103">
        <v>263.89999999999901</v>
      </c>
      <c r="T2645" s="270">
        <v>32.770000000000003</v>
      </c>
      <c r="U2645" s="270">
        <v>2.58</v>
      </c>
    </row>
    <row r="2646" spans="2:21" ht="17.399999999999999" thickTop="1" thickBot="1">
      <c r="B2646" s="216">
        <v>263.99999999999898</v>
      </c>
      <c r="T2646" s="270">
        <v>32.79</v>
      </c>
      <c r="U2646" s="270">
        <v>2.58</v>
      </c>
    </row>
    <row r="2647" spans="2:21" ht="17.399999999999999" thickTop="1" thickBot="1">
      <c r="B2647" s="103">
        <v>264.099999999999</v>
      </c>
      <c r="T2647" s="270">
        <v>32.81</v>
      </c>
      <c r="U2647" s="270">
        <v>2.58</v>
      </c>
    </row>
    <row r="2648" spans="2:21" ht="17.399999999999999" thickTop="1" thickBot="1">
      <c r="B2648" s="216">
        <v>264.19999999999902</v>
      </c>
      <c r="T2648" s="270">
        <v>32.840000000000003</v>
      </c>
      <c r="U2648" s="270">
        <v>2.58</v>
      </c>
    </row>
    <row r="2649" spans="2:21" ht="17.399999999999999" thickTop="1" thickBot="1">
      <c r="B2649" s="103">
        <v>264.29999999999899</v>
      </c>
      <c r="T2649" s="270">
        <v>32.86</v>
      </c>
      <c r="U2649" s="270">
        <v>2.58</v>
      </c>
    </row>
    <row r="2650" spans="2:21" ht="17.399999999999999" thickTop="1" thickBot="1">
      <c r="B2650" s="216">
        <v>264.39999999999901</v>
      </c>
      <c r="T2650" s="270">
        <v>32.89</v>
      </c>
      <c r="U2650" s="270">
        <v>2.59</v>
      </c>
    </row>
    <row r="2651" spans="2:21" ht="17.399999999999999" thickTop="1" thickBot="1">
      <c r="B2651" s="103">
        <v>264.49999999999898</v>
      </c>
      <c r="T2651" s="270">
        <v>32.909999999999997</v>
      </c>
      <c r="U2651" s="270">
        <v>2.59</v>
      </c>
    </row>
    <row r="2652" spans="2:21" ht="17.399999999999999" thickTop="1" thickBot="1">
      <c r="B2652" s="216">
        <v>264.599999999999</v>
      </c>
      <c r="T2652" s="270">
        <v>32.94</v>
      </c>
      <c r="U2652" s="270">
        <v>2.59</v>
      </c>
    </row>
    <row r="2653" spans="2:21" ht="17.399999999999999" thickTop="1" thickBot="1">
      <c r="B2653" s="103">
        <v>264.69999999999902</v>
      </c>
      <c r="T2653" s="270">
        <v>32.96</v>
      </c>
      <c r="U2653" s="270">
        <v>2.59</v>
      </c>
    </row>
    <row r="2654" spans="2:21" ht="17.399999999999999" thickTop="1" thickBot="1">
      <c r="B2654" s="216">
        <v>264.79999999999899</v>
      </c>
      <c r="T2654" s="270">
        <v>32.99</v>
      </c>
      <c r="U2654" s="270">
        <v>2.59</v>
      </c>
    </row>
    <row r="2655" spans="2:21" ht="17.399999999999999" thickTop="1" thickBot="1">
      <c r="B2655" s="103">
        <v>264.89999999999901</v>
      </c>
      <c r="T2655" s="270">
        <v>33.01</v>
      </c>
      <c r="U2655" s="270">
        <v>2.6</v>
      </c>
    </row>
    <row r="2656" spans="2:21" ht="17.399999999999999" thickTop="1" thickBot="1">
      <c r="B2656" s="216">
        <v>264.99999999999898</v>
      </c>
      <c r="T2656" s="270">
        <v>33.04</v>
      </c>
      <c r="U2656" s="270">
        <v>2.6</v>
      </c>
    </row>
    <row r="2657" spans="2:21" ht="17.399999999999999" thickTop="1" thickBot="1">
      <c r="B2657" s="103">
        <v>265.099999999999</v>
      </c>
      <c r="T2657" s="270">
        <v>33.06</v>
      </c>
      <c r="U2657" s="270">
        <v>2.6</v>
      </c>
    </row>
    <row r="2658" spans="2:21" ht="17.399999999999999" thickTop="1" thickBot="1">
      <c r="B2658" s="216">
        <v>265.19999999999902</v>
      </c>
      <c r="T2658" s="270">
        <v>33.090000000000003</v>
      </c>
      <c r="U2658" s="270">
        <v>2.6</v>
      </c>
    </row>
    <row r="2659" spans="2:21" ht="17.399999999999999" thickTop="1" thickBot="1">
      <c r="B2659" s="103">
        <v>265.29999999999899</v>
      </c>
      <c r="T2659" s="270">
        <v>33.11</v>
      </c>
      <c r="U2659" s="270">
        <v>2.6</v>
      </c>
    </row>
    <row r="2660" spans="2:21" ht="17.399999999999999" thickTop="1" thickBot="1">
      <c r="B2660" s="216">
        <v>265.39999999999901</v>
      </c>
      <c r="T2660" s="270">
        <v>33.14</v>
      </c>
      <c r="U2660" s="270">
        <v>2.61</v>
      </c>
    </row>
    <row r="2661" spans="2:21" ht="17.399999999999999" thickTop="1" thickBot="1">
      <c r="B2661" s="103">
        <v>265.49999999999898</v>
      </c>
      <c r="T2661" s="270">
        <v>33.159999999999997</v>
      </c>
      <c r="U2661" s="270">
        <v>2.61</v>
      </c>
    </row>
    <row r="2662" spans="2:21" ht="17.399999999999999" thickTop="1" thickBot="1">
      <c r="B2662" s="216">
        <v>265.599999999999</v>
      </c>
      <c r="T2662" s="270">
        <v>33.19</v>
      </c>
      <c r="U2662" s="270">
        <v>2.61</v>
      </c>
    </row>
    <row r="2663" spans="2:21" ht="17.399999999999999" thickTop="1" thickBot="1">
      <c r="B2663" s="103">
        <v>265.69999999999902</v>
      </c>
      <c r="T2663" s="270">
        <v>33.21</v>
      </c>
      <c r="U2663" s="270">
        <v>2.61</v>
      </c>
    </row>
    <row r="2664" spans="2:21" ht="17.399999999999999" thickTop="1" thickBot="1">
      <c r="B2664" s="216">
        <v>265.79999999999899</v>
      </c>
      <c r="T2664" s="270">
        <v>33.24</v>
      </c>
      <c r="U2664" s="270">
        <v>2.61</v>
      </c>
    </row>
    <row r="2665" spans="2:21" ht="17.399999999999999" thickTop="1" thickBot="1">
      <c r="B2665" s="103">
        <v>265.89999999999901</v>
      </c>
      <c r="T2665" s="270">
        <v>33.26</v>
      </c>
      <c r="U2665" s="270">
        <v>2.62</v>
      </c>
    </row>
    <row r="2666" spans="2:21" ht="17.399999999999999" thickTop="1" thickBot="1">
      <c r="B2666" s="216">
        <v>265.99999999999898</v>
      </c>
      <c r="T2666" s="270">
        <v>33.29</v>
      </c>
      <c r="U2666" s="270">
        <v>2.62</v>
      </c>
    </row>
    <row r="2667" spans="2:21" ht="17.399999999999999" thickTop="1" thickBot="1">
      <c r="B2667" s="103">
        <v>266.099999999999</v>
      </c>
      <c r="T2667" s="270">
        <v>33.31</v>
      </c>
      <c r="U2667" s="270">
        <v>2.62</v>
      </c>
    </row>
    <row r="2668" spans="2:21" ht="17.399999999999999" thickTop="1" thickBot="1">
      <c r="B2668" s="216">
        <v>266.19999999999902</v>
      </c>
      <c r="T2668" s="270">
        <v>33.340000000000003</v>
      </c>
      <c r="U2668" s="270">
        <v>2.62</v>
      </c>
    </row>
    <row r="2669" spans="2:21" ht="17.399999999999999" thickTop="1" thickBot="1">
      <c r="B2669" s="103">
        <v>266.29999999999899</v>
      </c>
      <c r="T2669" s="270">
        <v>33.36</v>
      </c>
      <c r="U2669" s="270">
        <v>2.62</v>
      </c>
    </row>
    <row r="2670" spans="2:21" ht="17.399999999999999" thickTop="1" thickBot="1">
      <c r="B2670" s="216">
        <v>266.39999999999901</v>
      </c>
      <c r="T2670" s="270">
        <v>33.39</v>
      </c>
      <c r="U2670" s="270">
        <v>2.63</v>
      </c>
    </row>
    <row r="2671" spans="2:21" ht="17.399999999999999" thickTop="1" thickBot="1">
      <c r="B2671" s="103">
        <v>266.49999999999898</v>
      </c>
      <c r="T2671" s="270">
        <v>33.409999999999997</v>
      </c>
      <c r="U2671" s="270">
        <v>2.63</v>
      </c>
    </row>
    <row r="2672" spans="2:21" ht="17.399999999999999" thickTop="1" thickBot="1">
      <c r="B2672" s="216">
        <v>266.599999999999</v>
      </c>
      <c r="T2672" s="270">
        <v>33.44</v>
      </c>
      <c r="U2672" s="270">
        <v>2.63</v>
      </c>
    </row>
    <row r="2673" spans="2:21" ht="17.399999999999999" thickTop="1" thickBot="1">
      <c r="B2673" s="103">
        <v>266.69999999999902</v>
      </c>
      <c r="T2673" s="270">
        <v>33.46</v>
      </c>
      <c r="U2673" s="270">
        <v>2.63</v>
      </c>
    </row>
    <row r="2674" spans="2:21" ht="17.399999999999999" thickTop="1" thickBot="1">
      <c r="B2674" s="216">
        <v>266.79999999999899</v>
      </c>
      <c r="T2674" s="270">
        <v>33.49</v>
      </c>
      <c r="U2674" s="270">
        <v>2.63</v>
      </c>
    </row>
    <row r="2675" spans="2:21" ht="17.399999999999999" thickTop="1" thickBot="1">
      <c r="B2675" s="103">
        <v>266.89999999999901</v>
      </c>
      <c r="T2675" s="270">
        <v>33.51</v>
      </c>
      <c r="U2675" s="270">
        <v>2.64</v>
      </c>
    </row>
    <row r="2676" spans="2:21" ht="17.399999999999999" thickTop="1" thickBot="1">
      <c r="B2676" s="216">
        <v>266.99999999999898</v>
      </c>
      <c r="T2676" s="270">
        <v>33.54</v>
      </c>
      <c r="U2676" s="270">
        <v>2.64</v>
      </c>
    </row>
    <row r="2677" spans="2:21" ht="17.399999999999999" thickTop="1" thickBot="1">
      <c r="B2677" s="103">
        <v>267.099999999999</v>
      </c>
      <c r="T2677" s="270">
        <v>33.56</v>
      </c>
      <c r="U2677" s="270">
        <v>2.64</v>
      </c>
    </row>
    <row r="2678" spans="2:21" ht="17.399999999999999" thickTop="1" thickBot="1">
      <c r="B2678" s="216">
        <v>267.19999999999902</v>
      </c>
      <c r="T2678" s="270">
        <v>33.590000000000003</v>
      </c>
      <c r="U2678" s="270">
        <v>2.64</v>
      </c>
    </row>
    <row r="2679" spans="2:21" ht="17.399999999999999" thickTop="1" thickBot="1">
      <c r="B2679" s="103">
        <v>267.29999999999899</v>
      </c>
      <c r="T2679" s="270">
        <v>33.61</v>
      </c>
      <c r="U2679" s="270">
        <v>2.64</v>
      </c>
    </row>
    <row r="2680" spans="2:21" ht="17.399999999999999" thickTop="1" thickBot="1">
      <c r="B2680" s="216">
        <v>267.39999999999901</v>
      </c>
      <c r="T2680" s="270">
        <v>33.64</v>
      </c>
      <c r="U2680" s="270">
        <v>2.65</v>
      </c>
    </row>
    <row r="2681" spans="2:21" ht="17.399999999999999" thickTop="1" thickBot="1">
      <c r="B2681" s="103">
        <v>267.49999999999898</v>
      </c>
      <c r="T2681" s="270">
        <v>33.67</v>
      </c>
      <c r="U2681" s="270">
        <v>2.65</v>
      </c>
    </row>
    <row r="2682" spans="2:21" ht="17.399999999999999" thickTop="1" thickBot="1">
      <c r="B2682" s="216">
        <v>267.599999999999</v>
      </c>
      <c r="T2682" s="270">
        <v>33.69</v>
      </c>
      <c r="U2682" s="270">
        <v>2.65</v>
      </c>
    </row>
    <row r="2683" spans="2:21" ht="17.399999999999999" thickTop="1" thickBot="1">
      <c r="B2683" s="103">
        <v>267.69999999999902</v>
      </c>
      <c r="T2683" s="270">
        <v>33.72</v>
      </c>
      <c r="U2683" s="270">
        <v>2.65</v>
      </c>
    </row>
    <row r="2684" spans="2:21" ht="17.399999999999999" thickTop="1" thickBot="1">
      <c r="B2684" s="216">
        <v>267.79999999999899</v>
      </c>
      <c r="T2684" s="270">
        <v>33.74</v>
      </c>
      <c r="U2684" s="270">
        <v>2.65</v>
      </c>
    </row>
    <row r="2685" spans="2:21" ht="17.399999999999999" thickTop="1" thickBot="1">
      <c r="B2685" s="103">
        <v>267.89999999999901</v>
      </c>
      <c r="T2685" s="270">
        <v>33.770000000000003</v>
      </c>
      <c r="U2685" s="270">
        <v>2.66</v>
      </c>
    </row>
    <row r="2686" spans="2:21" ht="17.399999999999999" thickTop="1" thickBot="1">
      <c r="B2686" s="216">
        <v>267.99999999999898</v>
      </c>
      <c r="T2686" s="270">
        <v>33.79</v>
      </c>
      <c r="U2686" s="270">
        <v>2.66</v>
      </c>
    </row>
    <row r="2687" spans="2:21" ht="17.399999999999999" thickTop="1" thickBot="1">
      <c r="B2687" s="103">
        <v>268.099999999999</v>
      </c>
      <c r="T2687" s="270">
        <v>33.82</v>
      </c>
      <c r="U2687" s="270">
        <v>2.66</v>
      </c>
    </row>
    <row r="2688" spans="2:21" ht="17.399999999999999" thickTop="1" thickBot="1">
      <c r="B2688" s="216">
        <v>268.19999999999902</v>
      </c>
      <c r="T2688" s="270">
        <v>33.840000000000003</v>
      </c>
      <c r="U2688" s="270">
        <v>2.66</v>
      </c>
    </row>
    <row r="2689" spans="2:21" ht="17.399999999999999" thickTop="1" thickBot="1">
      <c r="B2689" s="103">
        <v>268.29999999999899</v>
      </c>
      <c r="T2689" s="270">
        <v>33.869999999999997</v>
      </c>
      <c r="U2689" s="270">
        <v>2.66</v>
      </c>
    </row>
    <row r="2690" spans="2:21" ht="17.399999999999999" thickTop="1" thickBot="1">
      <c r="B2690" s="216">
        <v>268.39999999999901</v>
      </c>
      <c r="T2690" s="270">
        <v>33.89</v>
      </c>
      <c r="U2690" s="270">
        <v>2.67</v>
      </c>
    </row>
    <row r="2691" spans="2:21" ht="17.399999999999999" thickTop="1" thickBot="1">
      <c r="B2691" s="103">
        <v>268.49999999999898</v>
      </c>
      <c r="T2691" s="270">
        <v>33.92</v>
      </c>
      <c r="U2691" s="270">
        <v>2.67</v>
      </c>
    </row>
    <row r="2692" spans="2:21" ht="17.399999999999999" thickTop="1" thickBot="1">
      <c r="B2692" s="216">
        <v>268.599999999999</v>
      </c>
      <c r="T2692" s="270">
        <v>33.94</v>
      </c>
      <c r="U2692" s="270">
        <v>2.67</v>
      </c>
    </row>
    <row r="2693" spans="2:21" ht="17.399999999999999" thickTop="1" thickBot="1">
      <c r="B2693" s="103">
        <v>268.69999999999902</v>
      </c>
      <c r="T2693" s="270">
        <v>33.97</v>
      </c>
      <c r="U2693" s="270">
        <v>2.67</v>
      </c>
    </row>
    <row r="2694" spans="2:21" ht="17.399999999999999" thickTop="1" thickBot="1">
      <c r="B2694" s="216">
        <v>268.79999999999899</v>
      </c>
      <c r="T2694" s="270">
        <v>33.99</v>
      </c>
      <c r="U2694" s="270">
        <v>2.67</v>
      </c>
    </row>
    <row r="2695" spans="2:21" ht="17.399999999999999" thickTop="1" thickBot="1">
      <c r="B2695" s="103">
        <v>268.89999999999901</v>
      </c>
      <c r="T2695" s="270">
        <v>34.020000000000003</v>
      </c>
      <c r="U2695" s="270">
        <v>2.68</v>
      </c>
    </row>
    <row r="2696" spans="2:21" ht="17.399999999999999" thickTop="1" thickBot="1">
      <c r="B2696" s="216">
        <v>268.99999999999898</v>
      </c>
      <c r="T2696" s="270">
        <v>34.04</v>
      </c>
      <c r="U2696" s="270">
        <v>2.68</v>
      </c>
    </row>
    <row r="2697" spans="2:21" ht="17.399999999999999" thickTop="1" thickBot="1">
      <c r="B2697" s="103">
        <v>269.099999999999</v>
      </c>
      <c r="T2697" s="270">
        <v>34.07</v>
      </c>
      <c r="U2697" s="270">
        <v>2.68</v>
      </c>
    </row>
    <row r="2698" spans="2:21" ht="17.399999999999999" thickTop="1" thickBot="1">
      <c r="B2698" s="216">
        <v>269.19999999999902</v>
      </c>
      <c r="T2698" s="270">
        <v>34.090000000000003</v>
      </c>
      <c r="U2698" s="270">
        <v>2.68</v>
      </c>
    </row>
    <row r="2699" spans="2:21" ht="17.399999999999999" thickTop="1" thickBot="1">
      <c r="B2699" s="103">
        <v>269.29999999999899</v>
      </c>
      <c r="T2699" s="270">
        <v>34.119999999999997</v>
      </c>
      <c r="U2699" s="270">
        <v>2.68</v>
      </c>
    </row>
    <row r="2700" spans="2:21" ht="17.399999999999999" thickTop="1" thickBot="1">
      <c r="B2700" s="216">
        <v>269.39999999999901</v>
      </c>
      <c r="T2700" s="270">
        <v>34.15</v>
      </c>
      <c r="U2700" s="270">
        <v>2.69</v>
      </c>
    </row>
    <row r="2701" spans="2:21" ht="17.399999999999999" thickTop="1" thickBot="1">
      <c r="B2701" s="103">
        <v>269.49999999999898</v>
      </c>
      <c r="T2701" s="270">
        <v>34.17</v>
      </c>
      <c r="U2701" s="270">
        <v>2.69</v>
      </c>
    </row>
    <row r="2702" spans="2:21" ht="17.399999999999999" thickTop="1" thickBot="1">
      <c r="B2702" s="216">
        <v>269.599999999999</v>
      </c>
      <c r="T2702" s="270">
        <v>34.200000000000003</v>
      </c>
      <c r="U2702" s="270">
        <v>2.69</v>
      </c>
    </row>
    <row r="2703" spans="2:21" ht="17.399999999999999" thickTop="1" thickBot="1">
      <c r="B2703" s="103">
        <v>269.69999999999902</v>
      </c>
      <c r="T2703" s="270">
        <v>34.22</v>
      </c>
      <c r="U2703" s="270">
        <v>2.69</v>
      </c>
    </row>
    <row r="2704" spans="2:21" ht="17.399999999999999" thickTop="1" thickBot="1">
      <c r="B2704" s="216">
        <v>269.79999999999899</v>
      </c>
      <c r="T2704" s="270">
        <v>34.25</v>
      </c>
      <c r="U2704" s="270">
        <v>2.69</v>
      </c>
    </row>
    <row r="2705" spans="2:21" ht="17.399999999999999" thickTop="1" thickBot="1">
      <c r="B2705" s="103">
        <v>269.89999999999901</v>
      </c>
      <c r="T2705" s="270">
        <v>34.270000000000003</v>
      </c>
      <c r="U2705" s="270">
        <v>2.7</v>
      </c>
    </row>
    <row r="2706" spans="2:21" ht="17.399999999999999" thickTop="1" thickBot="1">
      <c r="B2706" s="216">
        <v>269.99999999999898</v>
      </c>
      <c r="T2706" s="270">
        <v>34.299999999999997</v>
      </c>
      <c r="U2706" s="270">
        <v>2.7</v>
      </c>
    </row>
    <row r="2707" spans="2:21" ht="17.399999999999999" thickTop="1" thickBot="1">
      <c r="B2707" s="103">
        <v>270.099999999999</v>
      </c>
      <c r="T2707" s="270">
        <v>34.32</v>
      </c>
      <c r="U2707" s="270">
        <v>2.7</v>
      </c>
    </row>
    <row r="2708" spans="2:21" ht="17.399999999999999" thickTop="1" thickBot="1">
      <c r="B2708" s="216">
        <v>270.19999999999902</v>
      </c>
      <c r="T2708" s="270">
        <v>34.35</v>
      </c>
      <c r="U2708" s="270">
        <v>2.7</v>
      </c>
    </row>
    <row r="2709" spans="2:21" ht="17.399999999999999" thickTop="1" thickBot="1">
      <c r="B2709" s="103">
        <v>270.29999999999899</v>
      </c>
      <c r="T2709" s="270">
        <v>34.369999999999997</v>
      </c>
      <c r="U2709" s="270">
        <v>2.7</v>
      </c>
    </row>
    <row r="2710" spans="2:21" ht="17.399999999999999" thickTop="1" thickBot="1">
      <c r="B2710" s="216">
        <v>270.39999999999901</v>
      </c>
      <c r="T2710" s="270">
        <v>34.4</v>
      </c>
      <c r="U2710" s="270">
        <v>2.71</v>
      </c>
    </row>
    <row r="2711" spans="2:21" ht="17.399999999999999" thickTop="1" thickBot="1">
      <c r="B2711" s="103">
        <v>270.49999999999898</v>
      </c>
      <c r="T2711" s="270">
        <v>34.42</v>
      </c>
      <c r="U2711" s="270">
        <v>2.71</v>
      </c>
    </row>
    <row r="2712" spans="2:21" ht="17.399999999999999" thickTop="1" thickBot="1">
      <c r="B2712" s="216">
        <v>270.599999999999</v>
      </c>
      <c r="T2712" s="270">
        <v>34.450000000000003</v>
      </c>
      <c r="U2712" s="270">
        <v>2.71</v>
      </c>
    </row>
    <row r="2713" spans="2:21" ht="17.399999999999999" thickTop="1" thickBot="1">
      <c r="B2713" s="103">
        <v>270.69999999999902</v>
      </c>
      <c r="T2713" s="270">
        <v>34.479999999999997</v>
      </c>
      <c r="U2713" s="270">
        <v>2.71</v>
      </c>
    </row>
    <row r="2714" spans="2:21" ht="17.399999999999999" thickTop="1" thickBot="1">
      <c r="B2714" s="216">
        <v>270.79999999999899</v>
      </c>
      <c r="T2714" s="270">
        <v>34.5</v>
      </c>
      <c r="U2714" s="270">
        <v>2.71</v>
      </c>
    </row>
    <row r="2715" spans="2:21" ht="17.399999999999999" thickTop="1" thickBot="1">
      <c r="B2715" s="103">
        <v>270.89999999999901</v>
      </c>
      <c r="T2715" s="270">
        <v>34.53</v>
      </c>
      <c r="U2715" s="270">
        <v>2.72</v>
      </c>
    </row>
    <row r="2716" spans="2:21" ht="17.399999999999999" thickTop="1" thickBot="1">
      <c r="B2716" s="216">
        <v>270.99999999999898</v>
      </c>
      <c r="T2716" s="270">
        <v>34.549999999999997</v>
      </c>
      <c r="U2716" s="270">
        <v>2.72</v>
      </c>
    </row>
    <row r="2717" spans="2:21" ht="17.399999999999999" thickTop="1" thickBot="1">
      <c r="B2717" s="103">
        <v>271.099999999999</v>
      </c>
      <c r="T2717" s="270">
        <v>34.58</v>
      </c>
      <c r="U2717" s="270">
        <v>2.72</v>
      </c>
    </row>
    <row r="2718" spans="2:21" ht="17.399999999999999" thickTop="1" thickBot="1">
      <c r="B2718" s="216">
        <v>271.19999999999902</v>
      </c>
      <c r="T2718" s="270">
        <v>34.6</v>
      </c>
      <c r="U2718" s="270">
        <v>2.72</v>
      </c>
    </row>
    <row r="2719" spans="2:21" ht="17.399999999999999" thickTop="1" thickBot="1">
      <c r="B2719" s="103">
        <v>271.29999999999899</v>
      </c>
      <c r="T2719" s="270">
        <v>34.630000000000003</v>
      </c>
      <c r="U2719" s="270">
        <v>2.72</v>
      </c>
    </row>
    <row r="2720" spans="2:21" ht="17.399999999999999" thickTop="1" thickBot="1">
      <c r="B2720" s="216">
        <v>271.39999999999901</v>
      </c>
      <c r="T2720" s="270">
        <v>34.65</v>
      </c>
      <c r="U2720" s="270">
        <v>2.73</v>
      </c>
    </row>
    <row r="2721" spans="2:21" ht="17.399999999999999" thickTop="1" thickBot="1">
      <c r="B2721" s="103">
        <v>271.49999999999898</v>
      </c>
      <c r="T2721" s="270">
        <v>34.68</v>
      </c>
      <c r="U2721" s="270">
        <v>2.73</v>
      </c>
    </row>
    <row r="2722" spans="2:21" ht="17.399999999999999" thickTop="1" thickBot="1">
      <c r="B2722" s="216">
        <v>271.599999999999</v>
      </c>
      <c r="T2722" s="270">
        <v>34.71</v>
      </c>
      <c r="U2722" s="270">
        <v>2.73</v>
      </c>
    </row>
    <row r="2723" spans="2:21" ht="17.399999999999999" thickTop="1" thickBot="1">
      <c r="B2723" s="103">
        <v>271.69999999999902</v>
      </c>
      <c r="T2723" s="270">
        <v>34.729999999999997</v>
      </c>
      <c r="U2723" s="270">
        <v>2.73</v>
      </c>
    </row>
    <row r="2724" spans="2:21" ht="17.399999999999999" thickTop="1" thickBot="1">
      <c r="B2724" s="216">
        <v>271.79999999999899</v>
      </c>
      <c r="T2724" s="270">
        <v>34.76</v>
      </c>
      <c r="U2724" s="270">
        <v>2.73</v>
      </c>
    </row>
    <row r="2725" spans="2:21" ht="17.399999999999999" thickTop="1" thickBot="1">
      <c r="B2725" s="103">
        <v>271.89999999999901</v>
      </c>
      <c r="T2725" s="270">
        <v>34.78</v>
      </c>
      <c r="U2725" s="270">
        <v>2.74</v>
      </c>
    </row>
    <row r="2726" spans="2:21" ht="17.399999999999999" thickTop="1" thickBot="1">
      <c r="B2726" s="216">
        <v>271.99999999999898</v>
      </c>
      <c r="T2726" s="270">
        <v>34.81</v>
      </c>
      <c r="U2726" s="270">
        <v>2.74</v>
      </c>
    </row>
    <row r="2727" spans="2:21" ht="17.399999999999999" thickTop="1" thickBot="1">
      <c r="B2727" s="103">
        <v>272.099999999999</v>
      </c>
      <c r="T2727" s="270">
        <v>34.83</v>
      </c>
      <c r="U2727" s="270">
        <v>2.74</v>
      </c>
    </row>
    <row r="2728" spans="2:21" ht="17.399999999999999" thickTop="1" thickBot="1">
      <c r="B2728" s="216">
        <v>272.19999999999902</v>
      </c>
      <c r="T2728" s="270">
        <v>34.86</v>
      </c>
      <c r="U2728" s="270">
        <v>2.74</v>
      </c>
    </row>
    <row r="2729" spans="2:21" ht="17.399999999999999" thickTop="1" thickBot="1">
      <c r="B2729" s="103">
        <v>272.29999999999899</v>
      </c>
      <c r="T2729" s="270">
        <v>34.880000000000003</v>
      </c>
      <c r="U2729" s="270">
        <v>2.74</v>
      </c>
    </row>
    <row r="2730" spans="2:21" ht="17.399999999999999" thickTop="1" thickBot="1">
      <c r="B2730" s="216">
        <v>272.39999999999901</v>
      </c>
      <c r="T2730" s="270">
        <v>34.909999999999997</v>
      </c>
      <c r="U2730" s="270">
        <v>2.75</v>
      </c>
    </row>
    <row r="2731" spans="2:21" ht="17.399999999999999" thickTop="1" thickBot="1">
      <c r="B2731" s="103">
        <v>272.49999999999898</v>
      </c>
      <c r="T2731" s="270">
        <v>34.94</v>
      </c>
      <c r="U2731" s="270">
        <v>2.75</v>
      </c>
    </row>
    <row r="2732" spans="2:21" ht="17.399999999999999" thickTop="1" thickBot="1">
      <c r="B2732" s="216">
        <v>272.599999999999</v>
      </c>
      <c r="T2732" s="270">
        <v>34.96</v>
      </c>
      <c r="U2732" s="270">
        <v>2.75</v>
      </c>
    </row>
    <row r="2733" spans="2:21" ht="17.399999999999999" thickTop="1" thickBot="1">
      <c r="B2733" s="103">
        <v>272.69999999999902</v>
      </c>
      <c r="T2733" s="270">
        <v>34.99</v>
      </c>
      <c r="U2733" s="270">
        <v>2.75</v>
      </c>
    </row>
    <row r="2734" spans="2:21" ht="17.399999999999999" thickTop="1" thickBot="1">
      <c r="B2734" s="216">
        <v>272.79999999999899</v>
      </c>
      <c r="T2734" s="270">
        <v>35.01</v>
      </c>
      <c r="U2734" s="270">
        <v>2.75</v>
      </c>
    </row>
    <row r="2735" spans="2:21" ht="17.399999999999999" thickTop="1" thickBot="1">
      <c r="B2735" s="103">
        <v>272.89999999999901</v>
      </c>
      <c r="T2735" s="270">
        <v>35.04</v>
      </c>
      <c r="U2735" s="270">
        <v>2.76</v>
      </c>
    </row>
    <row r="2736" spans="2:21" ht="17.399999999999999" thickTop="1" thickBot="1">
      <c r="B2736" s="216">
        <v>272.99999999999898</v>
      </c>
      <c r="T2736" s="270">
        <v>35.06</v>
      </c>
      <c r="U2736" s="270">
        <v>2.76</v>
      </c>
    </row>
    <row r="2737" spans="2:21" ht="17.399999999999999" thickTop="1" thickBot="1">
      <c r="B2737" s="103">
        <v>273.099999999999</v>
      </c>
      <c r="T2737" s="270">
        <v>35.090000000000003</v>
      </c>
      <c r="U2737" s="270">
        <v>2.76</v>
      </c>
    </row>
    <row r="2738" spans="2:21" ht="17.399999999999999" thickTop="1" thickBot="1">
      <c r="B2738" s="216">
        <v>273.19999999999902</v>
      </c>
      <c r="T2738" s="270">
        <v>35.119999999999997</v>
      </c>
      <c r="U2738" s="270">
        <v>2.76</v>
      </c>
    </row>
    <row r="2739" spans="2:21" ht="17.399999999999999" thickTop="1" thickBot="1">
      <c r="B2739" s="103">
        <v>273.29999999999899</v>
      </c>
      <c r="T2739" s="270">
        <v>35.14</v>
      </c>
      <c r="U2739" s="270">
        <v>2.76</v>
      </c>
    </row>
    <row r="2740" spans="2:21" ht="17.399999999999999" thickTop="1" thickBot="1">
      <c r="B2740" s="216">
        <v>273.39999999999901</v>
      </c>
      <c r="T2740" s="270">
        <v>35.17</v>
      </c>
      <c r="U2740" s="270">
        <v>2.77</v>
      </c>
    </row>
    <row r="2741" spans="2:21" ht="17.399999999999999" thickTop="1" thickBot="1">
      <c r="B2741" s="103">
        <v>273.49999999999898</v>
      </c>
      <c r="T2741" s="270">
        <v>35.19</v>
      </c>
      <c r="U2741" s="270">
        <v>2.77</v>
      </c>
    </row>
    <row r="2742" spans="2:21" ht="17.399999999999999" thickTop="1" thickBot="1">
      <c r="B2742" s="216">
        <v>273.599999999999</v>
      </c>
      <c r="T2742" s="270">
        <v>35.22</v>
      </c>
      <c r="U2742" s="270">
        <v>2.77</v>
      </c>
    </row>
    <row r="2743" spans="2:21" ht="17.399999999999999" thickTop="1" thickBot="1">
      <c r="B2743" s="103">
        <v>273.69999999999902</v>
      </c>
      <c r="T2743" s="270">
        <v>35.24</v>
      </c>
      <c r="U2743" s="270">
        <v>2.77</v>
      </c>
    </row>
    <row r="2744" spans="2:21" ht="17.399999999999999" thickTop="1" thickBot="1">
      <c r="B2744" s="216">
        <v>273.79999999999899</v>
      </c>
      <c r="T2744" s="270">
        <v>35.270000000000003</v>
      </c>
      <c r="U2744" s="270">
        <v>2.77</v>
      </c>
    </row>
    <row r="2745" spans="2:21" ht="17.399999999999999" thickTop="1" thickBot="1">
      <c r="B2745" s="103">
        <v>273.89999999999901</v>
      </c>
      <c r="T2745" s="270">
        <v>35.299999999999997</v>
      </c>
      <c r="U2745" s="270">
        <v>2.78</v>
      </c>
    </row>
    <row r="2746" spans="2:21" ht="17.399999999999999" thickTop="1" thickBot="1">
      <c r="B2746" s="216">
        <v>273.99999999999898</v>
      </c>
      <c r="T2746" s="270">
        <v>35.32</v>
      </c>
      <c r="U2746" s="270">
        <v>2.78</v>
      </c>
    </row>
    <row r="2747" spans="2:21" ht="17.399999999999999" thickTop="1" thickBot="1">
      <c r="B2747" s="103">
        <v>274.099999999999</v>
      </c>
      <c r="T2747" s="270">
        <v>35.35</v>
      </c>
      <c r="U2747" s="270">
        <v>2.78</v>
      </c>
    </row>
    <row r="2748" spans="2:21" ht="17.399999999999999" thickTop="1" thickBot="1">
      <c r="B2748" s="216">
        <v>274.19999999999902</v>
      </c>
      <c r="T2748" s="270">
        <v>35.369999999999997</v>
      </c>
      <c r="U2748" s="270">
        <v>2.78</v>
      </c>
    </row>
    <row r="2749" spans="2:21" ht="17.399999999999999" thickTop="1" thickBot="1">
      <c r="B2749" s="103">
        <v>274.29999999999899</v>
      </c>
      <c r="T2749" s="270">
        <v>35.4</v>
      </c>
      <c r="U2749" s="270">
        <v>2.78</v>
      </c>
    </row>
    <row r="2750" spans="2:21" ht="17.399999999999999" thickTop="1" thickBot="1">
      <c r="B2750" s="216">
        <v>274.39999999999901</v>
      </c>
      <c r="T2750" s="270">
        <v>35.42</v>
      </c>
      <c r="U2750" s="270">
        <v>2.79</v>
      </c>
    </row>
    <row r="2751" spans="2:21" ht="17.399999999999999" thickTop="1" thickBot="1">
      <c r="B2751" s="103">
        <v>274.49999999999898</v>
      </c>
      <c r="T2751" s="270">
        <v>35.450000000000003</v>
      </c>
      <c r="U2751" s="270">
        <v>2.79</v>
      </c>
    </row>
    <row r="2752" spans="2:21" ht="17.399999999999999" thickTop="1" thickBot="1">
      <c r="B2752" s="216">
        <v>274.599999999999</v>
      </c>
      <c r="T2752" s="270">
        <v>35.479999999999997</v>
      </c>
      <c r="U2752" s="270">
        <v>2.79</v>
      </c>
    </row>
    <row r="2753" spans="2:21" ht="17.399999999999999" thickTop="1" thickBot="1">
      <c r="B2753" s="103">
        <v>274.69999999999902</v>
      </c>
      <c r="T2753" s="270">
        <v>35.5</v>
      </c>
      <c r="U2753" s="270">
        <v>2.79</v>
      </c>
    </row>
    <row r="2754" spans="2:21" ht="17.399999999999999" thickTop="1" thickBot="1">
      <c r="B2754" s="216">
        <v>274.79999999999899</v>
      </c>
      <c r="T2754" s="270">
        <v>35.53</v>
      </c>
      <c r="U2754" s="270">
        <v>2.79</v>
      </c>
    </row>
    <row r="2755" spans="2:21" ht="17.399999999999999" thickTop="1" thickBot="1">
      <c r="B2755" s="103">
        <v>274.89999999999901</v>
      </c>
      <c r="T2755" s="270">
        <v>35.549999999999997</v>
      </c>
      <c r="U2755" s="270">
        <v>2.8</v>
      </c>
    </row>
    <row r="2756" spans="2:21" ht="17.399999999999999" thickTop="1" thickBot="1">
      <c r="B2756" s="216">
        <v>274.99999999999898</v>
      </c>
      <c r="T2756" s="270">
        <v>35.58</v>
      </c>
      <c r="U2756" s="270">
        <v>2.8</v>
      </c>
    </row>
    <row r="2757" spans="2:21" ht="17.399999999999999" thickTop="1" thickBot="1">
      <c r="B2757" s="103">
        <v>275.099999999999</v>
      </c>
      <c r="T2757" s="270">
        <v>35.61</v>
      </c>
      <c r="U2757" s="270">
        <v>2.8</v>
      </c>
    </row>
    <row r="2758" spans="2:21" ht="17.399999999999999" thickTop="1" thickBot="1">
      <c r="B2758" s="216">
        <v>275.19999999999902</v>
      </c>
      <c r="T2758" s="270">
        <v>35.630000000000003</v>
      </c>
      <c r="U2758" s="270">
        <v>2.8</v>
      </c>
    </row>
    <row r="2759" spans="2:21" ht="17.399999999999999" thickTop="1" thickBot="1">
      <c r="B2759" s="103">
        <v>275.29999999999899</v>
      </c>
      <c r="T2759" s="270">
        <v>35.659999999999997</v>
      </c>
      <c r="U2759" s="270">
        <v>2.8</v>
      </c>
    </row>
    <row r="2760" spans="2:21" ht="17.399999999999999" thickTop="1" thickBot="1">
      <c r="B2760" s="216">
        <v>275.39999999999901</v>
      </c>
      <c r="T2760" s="270">
        <v>35.68</v>
      </c>
      <c r="U2760" s="270">
        <v>2.81</v>
      </c>
    </row>
    <row r="2761" spans="2:21" ht="17.399999999999999" thickTop="1" thickBot="1">
      <c r="B2761" s="103">
        <v>275.49999999999898</v>
      </c>
      <c r="T2761" s="270">
        <v>35.71</v>
      </c>
      <c r="U2761" s="270">
        <v>2.81</v>
      </c>
    </row>
    <row r="2762" spans="2:21" ht="17.399999999999999" thickTop="1" thickBot="1">
      <c r="B2762" s="216">
        <v>275.599999999999</v>
      </c>
      <c r="T2762" s="270">
        <v>35.729999999999997</v>
      </c>
      <c r="U2762" s="270">
        <v>2.81</v>
      </c>
    </row>
    <row r="2763" spans="2:21" ht="17.399999999999999" thickTop="1" thickBot="1">
      <c r="B2763" s="103">
        <v>275.69999999999902</v>
      </c>
      <c r="T2763" s="270">
        <v>35.76</v>
      </c>
      <c r="U2763" s="270">
        <v>2.81</v>
      </c>
    </row>
    <row r="2764" spans="2:21" ht="17.399999999999999" thickTop="1" thickBot="1">
      <c r="B2764" s="216">
        <v>275.79999999999899</v>
      </c>
      <c r="T2764" s="270">
        <v>35.79</v>
      </c>
      <c r="U2764" s="270">
        <v>2.81</v>
      </c>
    </row>
    <row r="2765" spans="2:21" ht="17.399999999999999" thickTop="1" thickBot="1">
      <c r="B2765" s="103">
        <v>275.89999999999901</v>
      </c>
      <c r="T2765" s="270">
        <v>35.81</v>
      </c>
      <c r="U2765" s="270">
        <v>2.82</v>
      </c>
    </row>
    <row r="2766" spans="2:21" ht="17.399999999999999" thickTop="1" thickBot="1">
      <c r="B2766" s="216">
        <v>275.99999999999898</v>
      </c>
      <c r="T2766" s="270">
        <v>35.840000000000003</v>
      </c>
      <c r="U2766" s="270">
        <v>2.82</v>
      </c>
    </row>
    <row r="2767" spans="2:21" ht="17.399999999999999" thickTop="1" thickBot="1">
      <c r="B2767" s="103">
        <v>276.099999999999</v>
      </c>
      <c r="T2767" s="270">
        <v>35.86</v>
      </c>
      <c r="U2767" s="270">
        <v>2.82</v>
      </c>
    </row>
    <row r="2768" spans="2:21" ht="17.399999999999999" thickTop="1" thickBot="1">
      <c r="B2768" s="216">
        <v>276.19999999999902</v>
      </c>
      <c r="T2768" s="270">
        <v>35.89</v>
      </c>
      <c r="U2768" s="270">
        <v>2.82</v>
      </c>
    </row>
    <row r="2769" spans="2:21" ht="17.399999999999999" thickTop="1" thickBot="1">
      <c r="B2769" s="103">
        <v>276.29999999999899</v>
      </c>
      <c r="T2769" s="270">
        <v>35.92</v>
      </c>
      <c r="U2769" s="270">
        <v>2.82</v>
      </c>
    </row>
    <row r="2770" spans="2:21" ht="17.399999999999999" thickTop="1" thickBot="1">
      <c r="B2770" s="216">
        <v>276.39999999999901</v>
      </c>
      <c r="T2770" s="270">
        <v>35.94</v>
      </c>
      <c r="U2770" s="270">
        <v>2.83</v>
      </c>
    </row>
    <row r="2771" spans="2:21" ht="17.399999999999999" thickTop="1" thickBot="1">
      <c r="B2771" s="103">
        <v>276.49999999999898</v>
      </c>
      <c r="T2771" s="270">
        <v>35.97</v>
      </c>
      <c r="U2771" s="270">
        <v>2.83</v>
      </c>
    </row>
    <row r="2772" spans="2:21" ht="17.399999999999999" thickTop="1" thickBot="1">
      <c r="B2772" s="216">
        <v>276.599999999999</v>
      </c>
      <c r="T2772" s="270">
        <v>35.99</v>
      </c>
      <c r="U2772" s="270">
        <v>2.83</v>
      </c>
    </row>
    <row r="2773" spans="2:21" ht="17.399999999999999" thickTop="1" thickBot="1">
      <c r="B2773" s="103">
        <v>276.69999999999902</v>
      </c>
      <c r="T2773" s="270">
        <v>36.020000000000003</v>
      </c>
      <c r="U2773" s="270">
        <v>2.83</v>
      </c>
    </row>
    <row r="2774" spans="2:21" ht="17.399999999999999" thickTop="1" thickBot="1">
      <c r="B2774" s="216">
        <v>276.79999999999899</v>
      </c>
      <c r="T2774" s="270">
        <v>36.049999999999997</v>
      </c>
      <c r="U2774" s="270">
        <v>2.84</v>
      </c>
    </row>
    <row r="2775" spans="2:21" ht="17.399999999999999" thickTop="1" thickBot="1">
      <c r="B2775" s="103">
        <v>276.89999999999901</v>
      </c>
      <c r="T2775" s="270">
        <v>36.07</v>
      </c>
      <c r="U2775" s="270">
        <v>2.84</v>
      </c>
    </row>
    <row r="2776" spans="2:21" ht="17.399999999999999" thickTop="1" thickBot="1">
      <c r="B2776" s="216">
        <v>276.99999999999898</v>
      </c>
      <c r="T2776" s="270">
        <v>36.1</v>
      </c>
      <c r="U2776" s="270">
        <v>2.84</v>
      </c>
    </row>
    <row r="2777" spans="2:21" ht="17.399999999999999" thickTop="1" thickBot="1">
      <c r="B2777" s="103">
        <v>277.099999999999</v>
      </c>
      <c r="T2777" s="270">
        <v>36.119999999999997</v>
      </c>
      <c r="U2777" s="270">
        <v>2.84</v>
      </c>
    </row>
    <row r="2778" spans="2:21" ht="17.399999999999999" thickTop="1" thickBot="1">
      <c r="B2778" s="216">
        <v>277.19999999999902</v>
      </c>
      <c r="T2778" s="270">
        <v>36.15</v>
      </c>
      <c r="U2778" s="270">
        <v>2.84</v>
      </c>
    </row>
    <row r="2779" spans="2:21" ht="17.399999999999999" thickTop="1" thickBot="1">
      <c r="B2779" s="103">
        <v>277.29999999999899</v>
      </c>
      <c r="T2779" s="270">
        <v>36.18</v>
      </c>
      <c r="U2779" s="270">
        <v>2.85</v>
      </c>
    </row>
    <row r="2780" spans="2:21" ht="17.399999999999999" thickTop="1" thickBot="1">
      <c r="B2780" s="216">
        <v>277.39999999999901</v>
      </c>
      <c r="T2780" s="270">
        <v>36.200000000000003</v>
      </c>
      <c r="U2780" s="270">
        <v>2.85</v>
      </c>
    </row>
    <row r="2781" spans="2:21" ht="17.399999999999999" thickTop="1" thickBot="1">
      <c r="B2781" s="103">
        <v>277.49999999999898</v>
      </c>
      <c r="T2781" s="270">
        <v>36.229999999999997</v>
      </c>
      <c r="U2781" s="270">
        <v>2.85</v>
      </c>
    </row>
    <row r="2782" spans="2:21" ht="17.399999999999999" thickTop="1" thickBot="1">
      <c r="B2782" s="216">
        <v>277.599999999999</v>
      </c>
      <c r="T2782" s="270">
        <v>36.26</v>
      </c>
      <c r="U2782" s="270">
        <v>2.85</v>
      </c>
    </row>
    <row r="2783" spans="2:21" ht="17.399999999999999" thickTop="1" thickBot="1">
      <c r="B2783" s="103">
        <v>277.69999999999902</v>
      </c>
      <c r="T2783" s="270">
        <v>36.28</v>
      </c>
      <c r="U2783" s="270">
        <v>2.85</v>
      </c>
    </row>
    <row r="2784" spans="2:21" ht="17.399999999999999" thickTop="1" thickBot="1">
      <c r="B2784" s="216">
        <v>277.79999999999899</v>
      </c>
      <c r="T2784" s="270">
        <v>36.31</v>
      </c>
      <c r="U2784" s="270">
        <v>2.86</v>
      </c>
    </row>
    <row r="2785" spans="2:21" ht="17.399999999999999" thickTop="1" thickBot="1">
      <c r="B2785" s="103">
        <v>277.89999999999901</v>
      </c>
      <c r="T2785" s="270">
        <v>36.33</v>
      </c>
      <c r="U2785" s="270">
        <v>2.86</v>
      </c>
    </row>
    <row r="2786" spans="2:21" ht="17.399999999999999" thickTop="1" thickBot="1">
      <c r="B2786" s="216">
        <v>277.99999999999898</v>
      </c>
      <c r="T2786" s="270">
        <v>36.36</v>
      </c>
      <c r="U2786" s="270">
        <v>2.86</v>
      </c>
    </row>
    <row r="2787" spans="2:21" ht="17.399999999999999" thickTop="1" thickBot="1">
      <c r="B2787" s="103">
        <v>278.099999999999</v>
      </c>
      <c r="T2787" s="270">
        <v>36.39</v>
      </c>
      <c r="U2787" s="270">
        <v>2.86</v>
      </c>
    </row>
    <row r="2788" spans="2:21" ht="17.399999999999999" thickTop="1" thickBot="1">
      <c r="B2788" s="216">
        <v>278.19999999999902</v>
      </c>
      <c r="T2788" s="270">
        <v>36.409999999999997</v>
      </c>
      <c r="U2788" s="270">
        <v>2.86</v>
      </c>
    </row>
    <row r="2789" spans="2:21" ht="17.399999999999999" thickTop="1" thickBot="1">
      <c r="B2789" s="103">
        <v>278.29999999999899</v>
      </c>
      <c r="T2789" s="270">
        <v>36.44</v>
      </c>
      <c r="U2789" s="270">
        <v>2.87</v>
      </c>
    </row>
    <row r="2790" spans="2:21" ht="17.399999999999999" thickTop="1" thickBot="1">
      <c r="B2790" s="216">
        <v>278.39999999999901</v>
      </c>
      <c r="T2790" s="270">
        <v>36.46</v>
      </c>
      <c r="U2790" s="270">
        <v>2.87</v>
      </c>
    </row>
    <row r="2791" spans="2:21" ht="17.399999999999999" thickTop="1" thickBot="1">
      <c r="B2791" s="103">
        <v>278.49999999999898</v>
      </c>
      <c r="T2791" s="270">
        <v>36.49</v>
      </c>
      <c r="U2791" s="270">
        <v>2.87</v>
      </c>
    </row>
    <row r="2792" spans="2:21" ht="17.399999999999999" thickTop="1" thickBot="1">
      <c r="B2792" s="216">
        <v>278.599999999999</v>
      </c>
      <c r="T2792" s="270">
        <v>36.520000000000003</v>
      </c>
      <c r="U2792" s="270">
        <v>2.87</v>
      </c>
    </row>
    <row r="2793" spans="2:21" ht="17.399999999999999" thickTop="1" thickBot="1">
      <c r="B2793" s="103">
        <v>278.69999999999902</v>
      </c>
      <c r="T2793" s="270">
        <v>36.54</v>
      </c>
      <c r="U2793" s="270">
        <v>2.87</v>
      </c>
    </row>
    <row r="2794" spans="2:21" ht="17.399999999999999" thickTop="1" thickBot="1">
      <c r="B2794" s="216">
        <v>278.79999999999899</v>
      </c>
      <c r="T2794" s="270">
        <v>36.57</v>
      </c>
      <c r="U2794" s="270">
        <v>2.88</v>
      </c>
    </row>
    <row r="2795" spans="2:21" ht="17.399999999999999" thickTop="1" thickBot="1">
      <c r="B2795" s="103">
        <v>278.89999999999901</v>
      </c>
      <c r="T2795" s="270">
        <v>36.6</v>
      </c>
      <c r="U2795" s="270">
        <v>2.88</v>
      </c>
    </row>
    <row r="2796" spans="2:21" ht="17.399999999999999" thickTop="1" thickBot="1">
      <c r="B2796" s="216">
        <v>278.99999999999898</v>
      </c>
      <c r="T2796" s="270">
        <v>36.619999999999997</v>
      </c>
      <c r="U2796" s="270">
        <v>2.88</v>
      </c>
    </row>
    <row r="2797" spans="2:21" ht="17.399999999999999" thickTop="1" thickBot="1">
      <c r="B2797" s="103">
        <v>279.099999999999</v>
      </c>
      <c r="T2797" s="270">
        <v>36.65</v>
      </c>
      <c r="U2797" s="270">
        <v>2.88</v>
      </c>
    </row>
    <row r="2798" spans="2:21" ht="17.399999999999999" thickTop="1" thickBot="1">
      <c r="B2798" s="216">
        <v>279.19999999999902</v>
      </c>
      <c r="T2798" s="270">
        <v>36.67</v>
      </c>
      <c r="U2798" s="270">
        <v>2.88</v>
      </c>
    </row>
    <row r="2799" spans="2:21" ht="17.399999999999999" thickTop="1" thickBot="1">
      <c r="B2799" s="103">
        <v>279.29999999999899</v>
      </c>
      <c r="T2799" s="270">
        <v>36.700000000000003</v>
      </c>
      <c r="U2799" s="270">
        <v>2.89</v>
      </c>
    </row>
    <row r="2800" spans="2:21" ht="17.399999999999999" thickTop="1" thickBot="1">
      <c r="B2800" s="216">
        <v>279.39999999999901</v>
      </c>
      <c r="T2800" s="270">
        <v>36.729999999999997</v>
      </c>
      <c r="U2800" s="270">
        <v>2.89</v>
      </c>
    </row>
    <row r="2801" spans="2:21" ht="17.399999999999999" thickTop="1" thickBot="1">
      <c r="B2801" s="103">
        <v>279.49999999999898</v>
      </c>
      <c r="T2801" s="270">
        <v>36.75</v>
      </c>
      <c r="U2801" s="270">
        <v>2.89</v>
      </c>
    </row>
    <row r="2802" spans="2:21" ht="17.399999999999999" thickTop="1" thickBot="1">
      <c r="B2802" s="216">
        <v>279.599999999999</v>
      </c>
      <c r="T2802" s="270">
        <v>36.78</v>
      </c>
      <c r="U2802" s="270">
        <v>2.89</v>
      </c>
    </row>
    <row r="2803" spans="2:21" ht="17.399999999999999" thickTop="1" thickBot="1">
      <c r="B2803" s="103">
        <v>279.69999999999902</v>
      </c>
      <c r="T2803" s="270">
        <v>36.81</v>
      </c>
      <c r="U2803" s="270">
        <v>2.89</v>
      </c>
    </row>
    <row r="2804" spans="2:21" ht="17.399999999999999" thickTop="1" thickBot="1">
      <c r="B2804" s="216">
        <v>279.79999999999899</v>
      </c>
      <c r="T2804" s="270">
        <v>36.83</v>
      </c>
      <c r="U2804" s="270">
        <v>2.9</v>
      </c>
    </row>
    <row r="2805" spans="2:21" ht="17.399999999999999" thickTop="1" thickBot="1">
      <c r="B2805" s="103">
        <v>279.89999999999901</v>
      </c>
      <c r="T2805" s="270">
        <v>36.86</v>
      </c>
      <c r="U2805" s="270">
        <v>2.9</v>
      </c>
    </row>
    <row r="2806" spans="2:21" ht="17.399999999999999" thickTop="1" thickBot="1">
      <c r="B2806" s="216">
        <v>279.99999999999898</v>
      </c>
      <c r="T2806" s="270">
        <v>36.89</v>
      </c>
      <c r="U2806" s="270">
        <v>2.9</v>
      </c>
    </row>
    <row r="2807" spans="2:21" ht="17.399999999999999" thickTop="1" thickBot="1">
      <c r="B2807" s="103">
        <v>280.099999999999</v>
      </c>
      <c r="T2807" s="270">
        <v>36.909999999999997</v>
      </c>
      <c r="U2807" s="270">
        <v>2.9</v>
      </c>
    </row>
    <row r="2808" spans="2:21" ht="17.399999999999999" thickTop="1" thickBot="1">
      <c r="B2808" s="216">
        <v>280.19999999999902</v>
      </c>
      <c r="T2808" s="270">
        <v>36.94</v>
      </c>
      <c r="U2808" s="270">
        <v>2.91</v>
      </c>
    </row>
    <row r="2809" spans="2:21" ht="17.399999999999999" thickTop="1" thickBot="1">
      <c r="B2809" s="103">
        <v>280.29999999999899</v>
      </c>
      <c r="T2809" s="270">
        <v>36.96</v>
      </c>
      <c r="U2809" s="270">
        <v>2.91</v>
      </c>
    </row>
    <row r="2810" spans="2:21" ht="17.399999999999999" thickTop="1" thickBot="1">
      <c r="B2810" s="216">
        <v>280.39999999999901</v>
      </c>
      <c r="T2810" s="270">
        <v>36.99</v>
      </c>
      <c r="U2810" s="270">
        <v>2.91</v>
      </c>
    </row>
    <row r="2811" spans="2:21" ht="17.399999999999999" thickTop="1" thickBot="1">
      <c r="B2811" s="103">
        <v>280.49999999999898</v>
      </c>
      <c r="T2811" s="270">
        <v>37.020000000000003</v>
      </c>
      <c r="U2811" s="270">
        <v>2.91</v>
      </c>
    </row>
    <row r="2812" spans="2:21" ht="17.399999999999999" thickTop="1" thickBot="1">
      <c r="B2812" s="216">
        <v>280.599999999999</v>
      </c>
      <c r="T2812" s="270">
        <v>37.04</v>
      </c>
      <c r="U2812" s="270">
        <v>2.91</v>
      </c>
    </row>
    <row r="2813" spans="2:21" ht="17.399999999999999" thickTop="1" thickBot="1">
      <c r="B2813" s="103">
        <v>280.69999999999902</v>
      </c>
      <c r="T2813" s="270">
        <v>37.07</v>
      </c>
      <c r="U2813" s="270">
        <v>2.92</v>
      </c>
    </row>
    <row r="2814" spans="2:21" ht="17.399999999999999" thickTop="1" thickBot="1">
      <c r="B2814" s="216">
        <v>280.79999999999899</v>
      </c>
      <c r="T2814" s="270">
        <v>37.1</v>
      </c>
      <c r="U2814" s="270">
        <v>2.92</v>
      </c>
    </row>
    <row r="2815" spans="2:21" ht="17.399999999999999" thickTop="1" thickBot="1">
      <c r="B2815" s="103">
        <v>280.89999999999901</v>
      </c>
      <c r="T2815" s="270">
        <v>37.119999999999997</v>
      </c>
      <c r="U2815" s="270">
        <v>2.92</v>
      </c>
    </row>
    <row r="2816" spans="2:21" ht="17.399999999999999" thickTop="1" thickBot="1">
      <c r="B2816" s="216">
        <v>280.99999999999898</v>
      </c>
      <c r="T2816" s="270">
        <v>37.15</v>
      </c>
      <c r="U2816" s="270">
        <v>2.92</v>
      </c>
    </row>
    <row r="2817" spans="2:21" ht="17.399999999999999" thickTop="1" thickBot="1">
      <c r="B2817" s="103">
        <v>281.099999999999</v>
      </c>
      <c r="T2817" s="270">
        <v>37.18</v>
      </c>
      <c r="U2817" s="270">
        <v>2.92</v>
      </c>
    </row>
    <row r="2818" spans="2:21" ht="17.399999999999999" thickTop="1" thickBot="1">
      <c r="B2818" s="216">
        <v>281.19999999999902</v>
      </c>
      <c r="T2818" s="270">
        <v>37.200000000000003</v>
      </c>
      <c r="U2818" s="270">
        <v>2.93</v>
      </c>
    </row>
    <row r="2819" spans="2:21" ht="17.399999999999999" thickTop="1" thickBot="1">
      <c r="B2819" s="103">
        <v>281.29999999999899</v>
      </c>
      <c r="T2819" s="270">
        <v>37.229999999999997</v>
      </c>
      <c r="U2819" s="270">
        <v>2.93</v>
      </c>
    </row>
    <row r="2820" spans="2:21" ht="17.399999999999999" thickTop="1" thickBot="1">
      <c r="B2820" s="216">
        <v>281.39999999999901</v>
      </c>
      <c r="T2820" s="270">
        <v>37.25</v>
      </c>
      <c r="U2820" s="270">
        <v>2.93</v>
      </c>
    </row>
    <row r="2821" spans="2:21" ht="17.399999999999999" thickTop="1" thickBot="1">
      <c r="B2821" s="103">
        <v>281.49999999999898</v>
      </c>
      <c r="T2821" s="270">
        <v>37.28</v>
      </c>
      <c r="U2821" s="270">
        <v>2.93</v>
      </c>
    </row>
    <row r="2822" spans="2:21" ht="17.399999999999999" thickTop="1" thickBot="1">
      <c r="B2822" s="216">
        <v>281.599999999999</v>
      </c>
      <c r="T2822" s="270">
        <v>37.31</v>
      </c>
      <c r="U2822" s="270">
        <v>2.93</v>
      </c>
    </row>
    <row r="2823" spans="2:21" ht="17.399999999999999" thickTop="1" thickBot="1">
      <c r="B2823" s="103">
        <v>281.69999999999902</v>
      </c>
      <c r="T2823" s="270">
        <v>37.33</v>
      </c>
      <c r="U2823" s="270">
        <v>2.94</v>
      </c>
    </row>
    <row r="2824" spans="2:21" ht="17.399999999999999" thickTop="1" thickBot="1">
      <c r="B2824" s="216">
        <v>281.79999999999899</v>
      </c>
      <c r="T2824" s="270">
        <v>37.36</v>
      </c>
      <c r="U2824" s="270">
        <v>2.94</v>
      </c>
    </row>
    <row r="2825" spans="2:21" ht="17.399999999999999" thickTop="1" thickBot="1">
      <c r="B2825" s="103">
        <v>281.89999999999901</v>
      </c>
      <c r="T2825" s="270">
        <v>37.39</v>
      </c>
      <c r="U2825" s="270">
        <v>2.94</v>
      </c>
    </row>
    <row r="2826" spans="2:21" ht="17.399999999999999" thickTop="1" thickBot="1">
      <c r="B2826" s="216">
        <v>281.99999999999898</v>
      </c>
      <c r="T2826" s="270">
        <v>37.409999999999997</v>
      </c>
      <c r="U2826" s="270">
        <v>2.94</v>
      </c>
    </row>
    <row r="2827" spans="2:21" ht="17.399999999999999" thickTop="1" thickBot="1">
      <c r="B2827" s="103">
        <v>282.099999999999</v>
      </c>
      <c r="T2827" s="270">
        <v>37.44</v>
      </c>
      <c r="U2827" s="270">
        <v>2.94</v>
      </c>
    </row>
    <row r="2828" spans="2:21" ht="17.399999999999999" thickTop="1" thickBot="1">
      <c r="B2828" s="216">
        <v>282.19999999999902</v>
      </c>
      <c r="T2828" s="270">
        <v>37.47</v>
      </c>
      <c r="U2828" s="270">
        <v>2.95</v>
      </c>
    </row>
    <row r="2829" spans="2:21" ht="17.399999999999999" thickTop="1" thickBot="1">
      <c r="B2829" s="103">
        <v>282.29999999999899</v>
      </c>
      <c r="T2829" s="270">
        <v>37.49</v>
      </c>
      <c r="U2829" s="270">
        <v>2.95</v>
      </c>
    </row>
    <row r="2830" spans="2:21" ht="17.399999999999999" thickTop="1" thickBot="1">
      <c r="B2830" s="216">
        <v>282.39999999999901</v>
      </c>
      <c r="T2830" s="270">
        <v>37.520000000000003</v>
      </c>
      <c r="U2830" s="270">
        <v>2.95</v>
      </c>
    </row>
    <row r="2831" spans="2:21" ht="17.399999999999999" thickTop="1" thickBot="1">
      <c r="B2831" s="103">
        <v>282.49999999999898</v>
      </c>
      <c r="T2831" s="270">
        <v>37.549999999999997</v>
      </c>
      <c r="U2831" s="270">
        <v>2.95</v>
      </c>
    </row>
    <row r="2832" spans="2:21" ht="17.399999999999999" thickTop="1" thickBot="1">
      <c r="B2832" s="216">
        <v>282.599999999999</v>
      </c>
      <c r="T2832" s="270">
        <v>37.57</v>
      </c>
      <c r="U2832" s="270">
        <v>2.96</v>
      </c>
    </row>
    <row r="2833" spans="2:21" ht="17.399999999999999" thickTop="1" thickBot="1">
      <c r="B2833" s="103">
        <v>282.69999999999902</v>
      </c>
      <c r="T2833" s="270">
        <v>37.6</v>
      </c>
      <c r="U2833" s="270">
        <v>2.96</v>
      </c>
    </row>
    <row r="2834" spans="2:21" ht="17.399999999999999" thickTop="1" thickBot="1">
      <c r="B2834" s="216">
        <v>282.79999999999899</v>
      </c>
      <c r="T2834" s="270">
        <v>37.630000000000003</v>
      </c>
      <c r="U2834" s="270">
        <v>2.96</v>
      </c>
    </row>
    <row r="2835" spans="2:21" ht="17.399999999999999" thickTop="1" thickBot="1">
      <c r="B2835" s="103">
        <v>282.89999999999901</v>
      </c>
      <c r="T2835" s="270">
        <v>37.65</v>
      </c>
      <c r="U2835" s="270">
        <v>2.96</v>
      </c>
    </row>
    <row r="2836" spans="2:21" ht="17.399999999999999" thickTop="1" thickBot="1">
      <c r="B2836" s="216">
        <v>282.99999999999898</v>
      </c>
      <c r="T2836" s="270">
        <v>37.68</v>
      </c>
      <c r="U2836" s="270">
        <v>2.96</v>
      </c>
    </row>
    <row r="2837" spans="2:21" ht="17.399999999999999" thickTop="1" thickBot="1">
      <c r="B2837" s="103">
        <v>283.099999999999</v>
      </c>
      <c r="T2837" s="270">
        <v>37.71</v>
      </c>
      <c r="U2837" s="270">
        <v>2.97</v>
      </c>
    </row>
    <row r="2838" spans="2:21" ht="17.399999999999999" thickTop="1" thickBot="1">
      <c r="B2838" s="216">
        <v>283.19999999999902</v>
      </c>
      <c r="T2838" s="270">
        <v>37.729999999999997</v>
      </c>
      <c r="U2838" s="270">
        <v>2.97</v>
      </c>
    </row>
    <row r="2839" spans="2:21" ht="17.399999999999999" thickTop="1" thickBot="1">
      <c r="B2839" s="103">
        <v>283.29999999999899</v>
      </c>
      <c r="T2839" s="270">
        <v>37.76</v>
      </c>
      <c r="U2839" s="270">
        <v>2.97</v>
      </c>
    </row>
    <row r="2840" spans="2:21" ht="17.399999999999999" thickTop="1" thickBot="1">
      <c r="B2840" s="216">
        <v>283.39999999999901</v>
      </c>
      <c r="T2840" s="270">
        <v>37.79</v>
      </c>
      <c r="U2840" s="270">
        <v>2.97</v>
      </c>
    </row>
    <row r="2841" spans="2:21" ht="17.399999999999999" thickTop="1" thickBot="1">
      <c r="B2841" s="103">
        <v>283.49999999999898</v>
      </c>
      <c r="T2841" s="270">
        <v>37.81</v>
      </c>
      <c r="U2841" s="270">
        <v>2.97</v>
      </c>
    </row>
    <row r="2842" spans="2:21" ht="17.399999999999999" thickTop="1" thickBot="1">
      <c r="B2842" s="216">
        <v>283.599999999999</v>
      </c>
      <c r="T2842" s="270">
        <v>37.840000000000003</v>
      </c>
      <c r="U2842" s="270">
        <v>2.98</v>
      </c>
    </row>
    <row r="2843" spans="2:21" ht="17.399999999999999" thickTop="1" thickBot="1">
      <c r="B2843" s="103">
        <v>283.69999999999902</v>
      </c>
      <c r="T2843" s="270">
        <v>37.869999999999997</v>
      </c>
      <c r="U2843" s="270">
        <v>2.98</v>
      </c>
    </row>
    <row r="2844" spans="2:21" ht="17.399999999999999" thickTop="1" thickBot="1">
      <c r="B2844" s="216">
        <v>283.79999999999899</v>
      </c>
      <c r="T2844" s="270">
        <v>37.89</v>
      </c>
      <c r="U2844" s="270">
        <v>2.98</v>
      </c>
    </row>
    <row r="2845" spans="2:21" ht="17.399999999999999" thickTop="1" thickBot="1">
      <c r="B2845" s="103">
        <v>283.89999999999901</v>
      </c>
      <c r="T2845" s="270">
        <v>37.92</v>
      </c>
      <c r="U2845" s="270">
        <v>2.98</v>
      </c>
    </row>
    <row r="2846" spans="2:21" ht="17.399999999999999" thickTop="1" thickBot="1">
      <c r="B2846" s="216">
        <v>283.99999999999898</v>
      </c>
      <c r="T2846" s="270">
        <v>37.950000000000003</v>
      </c>
      <c r="U2846" s="270">
        <v>2.98</v>
      </c>
    </row>
    <row r="2847" spans="2:21" ht="17.399999999999999" thickTop="1" thickBot="1">
      <c r="B2847" s="103">
        <v>284.099999999999</v>
      </c>
      <c r="T2847" s="270">
        <v>37.97</v>
      </c>
      <c r="U2847" s="270">
        <v>2.99</v>
      </c>
    </row>
    <row r="2848" spans="2:21" ht="17.399999999999999" thickTop="1" thickBot="1">
      <c r="B2848" s="216">
        <v>284.19999999999902</v>
      </c>
      <c r="T2848" s="270">
        <v>38</v>
      </c>
      <c r="U2848" s="270">
        <v>2.99</v>
      </c>
    </row>
    <row r="2849" spans="2:21" ht="17.399999999999999" thickTop="1" thickBot="1">
      <c r="B2849" s="103">
        <v>284.29999999999899</v>
      </c>
      <c r="T2849" s="270">
        <v>38.03</v>
      </c>
      <c r="U2849" s="270">
        <v>2.99</v>
      </c>
    </row>
    <row r="2850" spans="2:21" ht="17.399999999999999" thickTop="1" thickBot="1">
      <c r="B2850" s="216">
        <v>284.39999999999901</v>
      </c>
      <c r="T2850" s="270">
        <v>38.049999999999997</v>
      </c>
      <c r="U2850" s="270">
        <v>2.99</v>
      </c>
    </row>
    <row r="2851" spans="2:21" ht="17.399999999999999" thickTop="1" thickBot="1">
      <c r="B2851" s="103">
        <v>284.49999999999898</v>
      </c>
      <c r="T2851" s="270">
        <v>38.08</v>
      </c>
      <c r="U2851" s="270">
        <v>3</v>
      </c>
    </row>
    <row r="2852" spans="2:21" ht="17.399999999999999" thickTop="1" thickBot="1">
      <c r="B2852" s="216">
        <v>284.599999999999</v>
      </c>
      <c r="T2852" s="270">
        <v>38.11</v>
      </c>
      <c r="U2852" s="270">
        <v>3</v>
      </c>
    </row>
    <row r="2853" spans="2:21" ht="17.399999999999999" thickTop="1" thickBot="1">
      <c r="B2853" s="103">
        <v>284.69999999999902</v>
      </c>
      <c r="T2853" s="270">
        <v>38.130000000000003</v>
      </c>
      <c r="U2853" s="270">
        <v>3</v>
      </c>
    </row>
    <row r="2854" spans="2:21" ht="17.399999999999999" thickTop="1" thickBot="1">
      <c r="B2854" s="216">
        <v>284.79999999999899</v>
      </c>
      <c r="T2854" s="270">
        <v>38.159999999999997</v>
      </c>
      <c r="U2854" s="270">
        <v>3</v>
      </c>
    </row>
    <row r="2855" spans="2:21" ht="17.399999999999999" thickTop="1" thickBot="1">
      <c r="B2855" s="103">
        <v>284.89999999999901</v>
      </c>
      <c r="T2855" s="270">
        <v>38.19</v>
      </c>
      <c r="U2855" s="270">
        <v>3</v>
      </c>
    </row>
    <row r="2856" spans="2:21" ht="17.399999999999999" thickTop="1" thickBot="1">
      <c r="B2856" s="216">
        <v>284.99999999999898</v>
      </c>
      <c r="T2856" s="270">
        <v>38.21</v>
      </c>
      <c r="U2856" s="270">
        <v>3.01</v>
      </c>
    </row>
    <row r="2857" spans="2:21" ht="17.399999999999999" thickTop="1" thickBot="1">
      <c r="B2857" s="103">
        <v>285.099999999999</v>
      </c>
      <c r="T2857" s="270">
        <v>38.24</v>
      </c>
      <c r="U2857" s="270">
        <v>3.01</v>
      </c>
    </row>
    <row r="2858" spans="2:21" ht="17.399999999999999" thickTop="1" thickBot="1">
      <c r="B2858" s="216">
        <v>285.19999999999902</v>
      </c>
      <c r="T2858" s="270">
        <v>38.270000000000003</v>
      </c>
      <c r="U2858" s="270">
        <v>3.01</v>
      </c>
    </row>
    <row r="2859" spans="2:21" ht="17.399999999999999" thickTop="1" thickBot="1">
      <c r="B2859" s="103">
        <v>285.29999999999899</v>
      </c>
      <c r="T2859" s="270">
        <v>38.29</v>
      </c>
      <c r="U2859" s="270">
        <v>3.01</v>
      </c>
    </row>
    <row r="2860" spans="2:21" ht="17.399999999999999" thickTop="1" thickBot="1">
      <c r="B2860" s="216">
        <v>285.39999999999901</v>
      </c>
      <c r="T2860" s="270">
        <v>38.32</v>
      </c>
      <c r="U2860" s="270">
        <v>3.01</v>
      </c>
    </row>
    <row r="2861" spans="2:21" ht="17.399999999999999" thickTop="1" thickBot="1">
      <c r="B2861" s="103">
        <v>285.49999999999898</v>
      </c>
      <c r="T2861" s="270">
        <v>38.35</v>
      </c>
      <c r="U2861" s="270">
        <v>3.02</v>
      </c>
    </row>
    <row r="2862" spans="2:21" ht="17.399999999999999" thickTop="1" thickBot="1">
      <c r="B2862" s="216">
        <v>285.599999999999</v>
      </c>
      <c r="T2862" s="270">
        <v>38.380000000000003</v>
      </c>
      <c r="U2862" s="270">
        <v>3.02</v>
      </c>
    </row>
    <row r="2863" spans="2:21" ht="17.399999999999999" thickTop="1" thickBot="1">
      <c r="B2863" s="103">
        <v>285.69999999999902</v>
      </c>
      <c r="T2863" s="270">
        <v>38.4</v>
      </c>
      <c r="U2863" s="270">
        <v>3.02</v>
      </c>
    </row>
    <row r="2864" spans="2:21" ht="17.399999999999999" thickTop="1" thickBot="1">
      <c r="B2864" s="216">
        <v>285.79999999999899</v>
      </c>
      <c r="T2864" s="270">
        <v>38.43</v>
      </c>
      <c r="U2864" s="270">
        <v>3.02</v>
      </c>
    </row>
    <row r="2865" spans="2:21" ht="17.399999999999999" thickTop="1" thickBot="1">
      <c r="B2865" s="103">
        <v>285.89999999999901</v>
      </c>
      <c r="T2865" s="270">
        <v>38.46</v>
      </c>
      <c r="U2865" s="270">
        <v>3.02</v>
      </c>
    </row>
    <row r="2866" spans="2:21" ht="17.399999999999999" thickTop="1" thickBot="1">
      <c r="B2866" s="216">
        <v>285.99999999999898</v>
      </c>
      <c r="T2866" s="270">
        <v>38.479999999999997</v>
      </c>
      <c r="U2866" s="270">
        <v>3.03</v>
      </c>
    </row>
    <row r="2867" spans="2:21" ht="17.399999999999999" thickTop="1" thickBot="1">
      <c r="B2867" s="103">
        <v>286.099999999999</v>
      </c>
      <c r="T2867" s="270">
        <v>38.51</v>
      </c>
      <c r="U2867" s="270">
        <v>3.03</v>
      </c>
    </row>
    <row r="2868" spans="2:21" ht="17.399999999999999" thickTop="1" thickBot="1">
      <c r="B2868" s="216">
        <v>286.19999999999902</v>
      </c>
      <c r="T2868" s="270">
        <v>38.54</v>
      </c>
      <c r="U2868" s="270">
        <v>3.03</v>
      </c>
    </row>
    <row r="2869" spans="2:21" ht="17.399999999999999" thickTop="1" thickBot="1">
      <c r="B2869" s="103">
        <v>286.29999999999899</v>
      </c>
      <c r="T2869" s="270">
        <v>38.56</v>
      </c>
      <c r="U2869" s="270">
        <v>3.03</v>
      </c>
    </row>
    <row r="2870" spans="2:21" ht="17.399999999999999" thickTop="1" thickBot="1">
      <c r="B2870" s="216">
        <v>286.39999999999901</v>
      </c>
      <c r="T2870" s="270">
        <v>38.590000000000003</v>
      </c>
      <c r="U2870" s="270">
        <v>3.04</v>
      </c>
    </row>
    <row r="2871" spans="2:21" ht="17.399999999999999" thickTop="1" thickBot="1">
      <c r="B2871" s="103">
        <v>286.49999999999898</v>
      </c>
      <c r="T2871" s="270">
        <v>38.619999999999997</v>
      </c>
      <c r="U2871" s="270">
        <v>3.04</v>
      </c>
    </row>
    <row r="2872" spans="2:21" ht="17.399999999999999" thickTop="1" thickBot="1">
      <c r="B2872" s="216">
        <v>286.599999999999</v>
      </c>
      <c r="T2872" s="270">
        <v>38.64</v>
      </c>
      <c r="U2872" s="270">
        <v>3.04</v>
      </c>
    </row>
    <row r="2873" spans="2:21" ht="17.399999999999999" thickTop="1" thickBot="1">
      <c r="B2873" s="103">
        <v>286.69999999999902</v>
      </c>
      <c r="T2873" s="270">
        <v>38.67</v>
      </c>
      <c r="U2873" s="270">
        <v>3.04</v>
      </c>
    </row>
    <row r="2874" spans="2:21" ht="17.399999999999999" thickTop="1" thickBot="1">
      <c r="B2874" s="216">
        <v>286.79999999999899</v>
      </c>
      <c r="T2874" s="270">
        <v>38.700000000000003</v>
      </c>
      <c r="U2874" s="270">
        <v>3.04</v>
      </c>
    </row>
    <row r="2875" spans="2:21" ht="17.399999999999999" thickTop="1" thickBot="1">
      <c r="B2875" s="103">
        <v>286.89999999999901</v>
      </c>
      <c r="T2875" s="270">
        <v>38.729999999999997</v>
      </c>
      <c r="U2875" s="270">
        <v>3.05</v>
      </c>
    </row>
    <row r="2876" spans="2:21" ht="17.399999999999999" thickTop="1" thickBot="1">
      <c r="B2876" s="216">
        <v>286.99999999999898</v>
      </c>
      <c r="T2876" s="270">
        <v>38.75</v>
      </c>
      <c r="U2876" s="270">
        <v>3.05</v>
      </c>
    </row>
    <row r="2877" spans="2:21" ht="17.399999999999999" thickTop="1" thickBot="1">
      <c r="B2877" s="103">
        <v>287.099999999999</v>
      </c>
      <c r="T2877" s="270">
        <v>38.78</v>
      </c>
      <c r="U2877" s="270">
        <v>3.05</v>
      </c>
    </row>
    <row r="2878" spans="2:21" ht="17.399999999999999" thickTop="1" thickBot="1">
      <c r="B2878" s="216">
        <v>287.19999999999902</v>
      </c>
      <c r="T2878" s="270">
        <v>38.81</v>
      </c>
      <c r="U2878" s="270">
        <v>3.05</v>
      </c>
    </row>
    <row r="2879" spans="2:21" ht="17.399999999999999" thickTop="1" thickBot="1">
      <c r="B2879" s="103">
        <v>287.29999999999899</v>
      </c>
      <c r="T2879" s="270">
        <v>38.83</v>
      </c>
      <c r="U2879" s="270">
        <v>3.05</v>
      </c>
    </row>
    <row r="2880" spans="2:21" ht="17.399999999999999" thickTop="1" thickBot="1">
      <c r="B2880" s="216">
        <v>287.39999999999901</v>
      </c>
      <c r="T2880" s="270">
        <v>38.86</v>
      </c>
      <c r="U2880" s="270">
        <v>3.06</v>
      </c>
    </row>
    <row r="2881" spans="2:21" ht="17.399999999999999" thickTop="1" thickBot="1">
      <c r="B2881" s="103">
        <v>287.49999999999898</v>
      </c>
      <c r="T2881" s="270">
        <v>38.89</v>
      </c>
      <c r="U2881" s="270">
        <v>3.06</v>
      </c>
    </row>
    <row r="2882" spans="2:21" ht="17.399999999999999" thickTop="1" thickBot="1">
      <c r="B2882" s="216">
        <v>287.599999999999</v>
      </c>
      <c r="T2882" s="270">
        <v>38.909999999999997</v>
      </c>
      <c r="U2882" s="270">
        <v>3.06</v>
      </c>
    </row>
    <row r="2883" spans="2:21" ht="17.399999999999999" thickTop="1" thickBot="1">
      <c r="B2883" s="103">
        <v>287.69999999999902</v>
      </c>
      <c r="T2883" s="270">
        <v>38.94</v>
      </c>
      <c r="U2883" s="270">
        <v>3.06</v>
      </c>
    </row>
    <row r="2884" spans="2:21" ht="17.399999999999999" thickTop="1" thickBot="1">
      <c r="B2884" s="216">
        <v>287.79999999999899</v>
      </c>
      <c r="T2884" s="270">
        <v>38.97</v>
      </c>
      <c r="U2884" s="270">
        <v>3.06</v>
      </c>
    </row>
    <row r="2885" spans="2:21" ht="17.399999999999999" thickTop="1" thickBot="1">
      <c r="B2885" s="103">
        <v>287.89999999999901</v>
      </c>
      <c r="T2885" s="270">
        <v>39</v>
      </c>
      <c r="U2885" s="270">
        <v>3.07</v>
      </c>
    </row>
    <row r="2886" spans="2:21" ht="17.399999999999999" thickTop="1" thickBot="1">
      <c r="B2886" s="216">
        <v>287.99999999999898</v>
      </c>
      <c r="T2886" s="270">
        <v>39.020000000000003</v>
      </c>
      <c r="U2886" s="270">
        <v>3.07</v>
      </c>
    </row>
    <row r="2887" spans="2:21" ht="17.399999999999999" thickTop="1" thickBot="1">
      <c r="B2887" s="103">
        <v>288.099999999999</v>
      </c>
      <c r="T2887" s="270">
        <v>39.049999999999997</v>
      </c>
      <c r="U2887" s="270">
        <v>3.07</v>
      </c>
    </row>
    <row r="2888" spans="2:21" ht="17.399999999999999" thickTop="1" thickBot="1">
      <c r="B2888" s="216">
        <v>288.19999999999902</v>
      </c>
      <c r="T2888" s="270">
        <v>39.08</v>
      </c>
      <c r="U2888" s="270">
        <v>3.07</v>
      </c>
    </row>
    <row r="2889" spans="2:21" ht="17.399999999999999" thickTop="1" thickBot="1">
      <c r="B2889" s="103">
        <v>288.29999999999899</v>
      </c>
      <c r="T2889" s="270">
        <v>39.1</v>
      </c>
      <c r="U2889" s="270">
        <v>3.08</v>
      </c>
    </row>
    <row r="2890" spans="2:21" ht="17.399999999999999" thickTop="1" thickBot="1">
      <c r="B2890" s="216">
        <v>288.39999999999901</v>
      </c>
      <c r="T2890" s="270">
        <v>39.130000000000003</v>
      </c>
      <c r="U2890" s="270">
        <v>3.08</v>
      </c>
    </row>
    <row r="2891" spans="2:21" ht="17.399999999999999" thickTop="1" thickBot="1">
      <c r="B2891" s="103">
        <v>288.49999999999898</v>
      </c>
      <c r="T2891" s="270">
        <v>39.159999999999997</v>
      </c>
      <c r="U2891" s="270">
        <v>3.08</v>
      </c>
    </row>
    <row r="2892" spans="2:21" ht="17.399999999999999" thickTop="1" thickBot="1">
      <c r="B2892" s="216">
        <v>288.599999999999</v>
      </c>
      <c r="T2892" s="270">
        <v>39.19</v>
      </c>
      <c r="U2892" s="270">
        <v>3.08</v>
      </c>
    </row>
    <row r="2893" spans="2:21" ht="17.399999999999999" thickTop="1" thickBot="1">
      <c r="B2893" s="103">
        <v>288.69999999999902</v>
      </c>
      <c r="T2893" s="270">
        <v>39.21</v>
      </c>
      <c r="U2893" s="270">
        <v>3.08</v>
      </c>
    </row>
    <row r="2894" spans="2:21" ht="17.399999999999999" thickTop="1" thickBot="1">
      <c r="B2894" s="216">
        <v>288.79999999999899</v>
      </c>
      <c r="T2894" s="270">
        <v>39.24</v>
      </c>
      <c r="U2894" s="270">
        <v>3.09</v>
      </c>
    </row>
    <row r="2895" spans="2:21" ht="17.399999999999999" thickTop="1" thickBot="1">
      <c r="B2895" s="103">
        <v>288.89999999999901</v>
      </c>
      <c r="T2895" s="270">
        <v>39.270000000000003</v>
      </c>
      <c r="U2895" s="270">
        <v>3.09</v>
      </c>
    </row>
    <row r="2896" spans="2:21" ht="17.399999999999999" thickTop="1" thickBot="1">
      <c r="B2896" s="216">
        <v>288.99999999999898</v>
      </c>
      <c r="T2896" s="270">
        <v>39.29</v>
      </c>
      <c r="U2896" s="270">
        <v>3.09</v>
      </c>
    </row>
    <row r="2897" spans="2:21" ht="17.399999999999999" thickTop="1" thickBot="1">
      <c r="B2897" s="103">
        <v>289.099999999999</v>
      </c>
      <c r="T2897" s="270">
        <v>39.32</v>
      </c>
      <c r="U2897" s="270">
        <v>3.09</v>
      </c>
    </row>
    <row r="2898" spans="2:21" ht="17.399999999999999" thickTop="1" thickBot="1">
      <c r="B2898" s="216">
        <v>289.19999999999902</v>
      </c>
      <c r="T2898" s="270">
        <v>39.35</v>
      </c>
      <c r="U2898" s="270">
        <v>3.09</v>
      </c>
    </row>
    <row r="2899" spans="2:21" ht="17.399999999999999" thickTop="1" thickBot="1">
      <c r="B2899" s="103">
        <v>289.29999999999899</v>
      </c>
      <c r="T2899" s="270">
        <v>39.380000000000003</v>
      </c>
      <c r="U2899" s="270">
        <v>3.1</v>
      </c>
    </row>
    <row r="2900" spans="2:21" ht="17.399999999999999" thickTop="1" thickBot="1">
      <c r="B2900" s="216">
        <v>289.39999999999901</v>
      </c>
      <c r="T2900" s="270">
        <v>39.4</v>
      </c>
      <c r="U2900" s="270">
        <v>3.1</v>
      </c>
    </row>
    <row r="2901" spans="2:21" ht="17.399999999999999" thickTop="1" thickBot="1">
      <c r="B2901" s="103">
        <v>289.49999999999898</v>
      </c>
      <c r="T2901" s="270">
        <v>39.43</v>
      </c>
      <c r="U2901" s="270">
        <v>3.1</v>
      </c>
    </row>
    <row r="2902" spans="2:21" ht="17.399999999999999" thickTop="1" thickBot="1">
      <c r="B2902" s="216">
        <v>289.599999999999</v>
      </c>
      <c r="T2902" s="270">
        <v>39.46</v>
      </c>
      <c r="U2902" s="270">
        <v>3.1</v>
      </c>
    </row>
    <row r="2903" spans="2:21" ht="17.399999999999999" thickTop="1" thickBot="1">
      <c r="B2903" s="103">
        <v>289.69999999999902</v>
      </c>
      <c r="T2903" s="270">
        <v>39.479999999999997</v>
      </c>
      <c r="U2903" s="270">
        <v>3.11</v>
      </c>
    </row>
    <row r="2904" spans="2:21" ht="17.399999999999999" thickTop="1" thickBot="1">
      <c r="B2904" s="216">
        <v>289.79999999999899</v>
      </c>
      <c r="T2904" s="270">
        <v>39.51</v>
      </c>
      <c r="U2904" s="270">
        <v>3.11</v>
      </c>
    </row>
    <row r="2905" spans="2:21" ht="17.399999999999999" thickTop="1" thickBot="1">
      <c r="B2905" s="103">
        <v>289.89999999999901</v>
      </c>
      <c r="T2905" s="270">
        <v>39.54</v>
      </c>
      <c r="U2905" s="270">
        <v>3.11</v>
      </c>
    </row>
    <row r="2906" spans="2:21" ht="17.399999999999999" thickTop="1" thickBot="1">
      <c r="B2906" s="216">
        <v>289.99999999999898</v>
      </c>
      <c r="T2906" s="270">
        <v>39.57</v>
      </c>
      <c r="U2906" s="270">
        <v>3.11</v>
      </c>
    </row>
    <row r="2907" spans="2:21" ht="17.399999999999999" thickTop="1" thickBot="1">
      <c r="B2907" s="103">
        <v>290.099999999999</v>
      </c>
      <c r="T2907" s="270">
        <v>39.590000000000003</v>
      </c>
      <c r="U2907" s="270">
        <v>3.11</v>
      </c>
    </row>
    <row r="2908" spans="2:21" ht="17.399999999999999" thickTop="1" thickBot="1">
      <c r="B2908" s="216">
        <v>290.19999999999902</v>
      </c>
      <c r="T2908" s="270">
        <v>39.619999999999997</v>
      </c>
      <c r="U2908" s="270">
        <v>3.12</v>
      </c>
    </row>
    <row r="2909" spans="2:21" ht="17.399999999999999" thickTop="1" thickBot="1">
      <c r="B2909" s="103">
        <v>290.29999999999899</v>
      </c>
      <c r="T2909" s="270">
        <v>39.65</v>
      </c>
      <c r="U2909" s="270">
        <v>3.12</v>
      </c>
    </row>
    <row r="2910" spans="2:21" ht="17.399999999999999" thickTop="1" thickBot="1">
      <c r="B2910" s="216">
        <v>290.39999999999901</v>
      </c>
      <c r="T2910" s="270">
        <v>39.68</v>
      </c>
      <c r="U2910" s="270">
        <v>3.12</v>
      </c>
    </row>
    <row r="2911" spans="2:21" ht="17.399999999999999" thickTop="1" thickBot="1">
      <c r="B2911" s="103">
        <v>290.49999999999898</v>
      </c>
      <c r="T2911" s="270">
        <v>39.700000000000003</v>
      </c>
      <c r="U2911" s="270">
        <v>3.12</v>
      </c>
    </row>
    <row r="2912" spans="2:21" ht="17.399999999999999" thickTop="1" thickBot="1">
      <c r="B2912" s="216">
        <v>290.599999999999</v>
      </c>
      <c r="T2912" s="270">
        <v>39.729999999999997</v>
      </c>
      <c r="U2912" s="270">
        <v>3.12</v>
      </c>
    </row>
    <row r="2913" spans="2:21" ht="17.399999999999999" thickTop="1" thickBot="1">
      <c r="B2913" s="103">
        <v>290.69999999999902</v>
      </c>
      <c r="T2913" s="270">
        <v>39.76</v>
      </c>
      <c r="U2913" s="270">
        <v>3.13</v>
      </c>
    </row>
    <row r="2914" spans="2:21" ht="17.399999999999999" thickTop="1" thickBot="1">
      <c r="B2914" s="216">
        <v>290.79999999999899</v>
      </c>
      <c r="T2914" s="270">
        <v>39.79</v>
      </c>
      <c r="U2914" s="270">
        <v>3.13</v>
      </c>
    </row>
    <row r="2915" spans="2:21" ht="17.399999999999999" thickTop="1" thickBot="1">
      <c r="B2915" s="103">
        <v>290.89999999999901</v>
      </c>
      <c r="T2915" s="270">
        <v>39.81</v>
      </c>
      <c r="U2915" s="270">
        <v>3.13</v>
      </c>
    </row>
    <row r="2916" spans="2:21" ht="17.399999999999999" thickTop="1" thickBot="1">
      <c r="B2916" s="216">
        <v>290.99999999999898</v>
      </c>
      <c r="T2916" s="270">
        <v>39.840000000000003</v>
      </c>
      <c r="U2916" s="270">
        <v>3.13</v>
      </c>
    </row>
    <row r="2917" spans="2:21" ht="17.399999999999999" thickTop="1" thickBot="1">
      <c r="B2917" s="103">
        <v>291.099999999999</v>
      </c>
      <c r="T2917" s="270">
        <v>39.869999999999997</v>
      </c>
      <c r="U2917" s="270">
        <v>3.14</v>
      </c>
    </row>
    <row r="2918" spans="2:21" ht="17.399999999999999" thickTop="1" thickBot="1">
      <c r="B2918" s="216">
        <v>291.19999999999902</v>
      </c>
      <c r="T2918" s="270">
        <v>39.89</v>
      </c>
      <c r="U2918" s="270">
        <v>3.14</v>
      </c>
    </row>
    <row r="2919" spans="2:21" ht="17.399999999999999" thickTop="1" thickBot="1">
      <c r="B2919" s="103">
        <v>291.29999999999899</v>
      </c>
      <c r="T2919" s="270">
        <v>39.92</v>
      </c>
      <c r="U2919" s="270">
        <v>3.14</v>
      </c>
    </row>
    <row r="2920" spans="2:21" ht="17.399999999999999" thickTop="1" thickBot="1">
      <c r="B2920" s="216">
        <v>291.39999999999901</v>
      </c>
      <c r="T2920" s="270">
        <v>39.950000000000003</v>
      </c>
      <c r="U2920" s="270">
        <v>3.14</v>
      </c>
    </row>
    <row r="2921" spans="2:21" ht="17.399999999999999" thickTop="1" thickBot="1">
      <c r="B2921" s="103">
        <v>291.49999999999898</v>
      </c>
      <c r="T2921" s="270">
        <v>39.979999999999997</v>
      </c>
      <c r="U2921" s="270">
        <v>3.14</v>
      </c>
    </row>
    <row r="2922" spans="2:21" ht="17.399999999999999" thickTop="1" thickBot="1">
      <c r="B2922" s="216">
        <v>291.599999999999</v>
      </c>
      <c r="T2922" s="270">
        <v>40</v>
      </c>
      <c r="U2922" s="270">
        <v>3.15</v>
      </c>
    </row>
    <row r="2923" spans="2:21" ht="17.399999999999999" thickTop="1" thickBot="1">
      <c r="B2923" s="103">
        <v>291.69999999999902</v>
      </c>
      <c r="T2923" s="270">
        <v>40.03</v>
      </c>
      <c r="U2923" s="270">
        <v>3.15</v>
      </c>
    </row>
    <row r="2924" spans="2:21" ht="17.399999999999999" thickTop="1" thickBot="1">
      <c r="B2924" s="216">
        <v>291.79999999999899</v>
      </c>
      <c r="T2924" s="270">
        <v>40.06</v>
      </c>
      <c r="U2924" s="270">
        <v>3.15</v>
      </c>
    </row>
    <row r="2925" spans="2:21" ht="17.399999999999999" thickTop="1" thickBot="1">
      <c r="B2925" s="103">
        <v>291.89999999999901</v>
      </c>
      <c r="T2925" s="270">
        <v>40.090000000000003</v>
      </c>
      <c r="U2925" s="270">
        <v>3.15</v>
      </c>
    </row>
    <row r="2926" spans="2:21" ht="17.399999999999999" thickTop="1" thickBot="1">
      <c r="B2926" s="216">
        <v>291.99999999999898</v>
      </c>
      <c r="T2926" s="270">
        <v>40.11</v>
      </c>
      <c r="U2926" s="270">
        <v>3.16</v>
      </c>
    </row>
    <row r="2927" spans="2:21" ht="17.399999999999999" thickTop="1" thickBot="1">
      <c r="B2927" s="103">
        <v>292.099999999999</v>
      </c>
      <c r="T2927" s="270">
        <v>40.14</v>
      </c>
      <c r="U2927" s="270">
        <v>3.16</v>
      </c>
    </row>
    <row r="2928" spans="2:21" ht="17.399999999999999" thickTop="1" thickBot="1">
      <c r="B2928" s="216">
        <v>292.19999999999902</v>
      </c>
      <c r="T2928" s="270">
        <v>40.17</v>
      </c>
      <c r="U2928" s="270">
        <v>3.16</v>
      </c>
    </row>
    <row r="2929" spans="2:21" ht="17.399999999999999" thickTop="1" thickBot="1">
      <c r="B2929" s="103">
        <v>292.29999999999899</v>
      </c>
      <c r="T2929" s="270">
        <v>40.200000000000003</v>
      </c>
      <c r="U2929" s="270">
        <v>3.16</v>
      </c>
    </row>
    <row r="2930" spans="2:21" ht="17.399999999999999" thickTop="1" thickBot="1">
      <c r="B2930" s="216">
        <v>292.39999999999901</v>
      </c>
      <c r="T2930" s="270">
        <v>40.22</v>
      </c>
      <c r="U2930" s="270">
        <v>3.16</v>
      </c>
    </row>
    <row r="2931" spans="2:21" ht="17.399999999999999" thickTop="1" thickBot="1">
      <c r="B2931" s="103">
        <v>292.49999999999898</v>
      </c>
      <c r="T2931" s="270">
        <v>40.25</v>
      </c>
      <c r="U2931" s="270">
        <v>3.17</v>
      </c>
    </row>
    <row r="2932" spans="2:21" ht="17.399999999999999" thickTop="1" thickBot="1">
      <c r="B2932" s="216">
        <v>292.599999999999</v>
      </c>
      <c r="T2932" s="270">
        <v>40.28</v>
      </c>
      <c r="U2932" s="270">
        <v>3.17</v>
      </c>
    </row>
    <row r="2933" spans="2:21" ht="17.399999999999999" thickTop="1" thickBot="1">
      <c r="B2933" s="103">
        <v>292.69999999999902</v>
      </c>
      <c r="T2933" s="270">
        <v>40.31</v>
      </c>
      <c r="U2933" s="270">
        <v>3.17</v>
      </c>
    </row>
    <row r="2934" spans="2:21" ht="17.399999999999999" thickTop="1" thickBot="1">
      <c r="B2934" s="216">
        <v>292.79999999999899</v>
      </c>
      <c r="T2934" s="270">
        <v>40.33</v>
      </c>
      <c r="U2934" s="270">
        <v>3.17</v>
      </c>
    </row>
    <row r="2935" spans="2:21" ht="17.399999999999999" thickTop="1" thickBot="1">
      <c r="B2935" s="103">
        <v>292.89999999999901</v>
      </c>
      <c r="T2935" s="270">
        <v>40.36</v>
      </c>
      <c r="U2935" s="270">
        <v>3.17</v>
      </c>
    </row>
    <row r="2936" spans="2:21" ht="17.399999999999999" thickTop="1" thickBot="1">
      <c r="B2936" s="216">
        <v>292.99999999999898</v>
      </c>
      <c r="T2936" s="270">
        <v>40.39</v>
      </c>
      <c r="U2936" s="270">
        <v>3.18</v>
      </c>
    </row>
    <row r="2937" spans="2:21" ht="17.399999999999999" thickTop="1" thickBot="1">
      <c r="B2937" s="103">
        <v>293.099999999999</v>
      </c>
      <c r="T2937" s="270">
        <v>40.42</v>
      </c>
      <c r="U2937" s="270">
        <v>3.18</v>
      </c>
    </row>
    <row r="2938" spans="2:21" ht="17.399999999999999" thickTop="1" thickBot="1">
      <c r="B2938" s="216">
        <v>293.19999999999902</v>
      </c>
      <c r="T2938" s="270">
        <v>40.44</v>
      </c>
      <c r="U2938" s="270">
        <v>3.18</v>
      </c>
    </row>
    <row r="2939" spans="2:21" ht="17.399999999999999" thickTop="1" thickBot="1">
      <c r="B2939" s="103">
        <v>293.29999999999899</v>
      </c>
      <c r="T2939" s="270">
        <v>40.47</v>
      </c>
      <c r="U2939" s="270">
        <v>3.18</v>
      </c>
    </row>
    <row r="2940" spans="2:21" ht="17.399999999999999" thickTop="1" thickBot="1">
      <c r="B2940" s="216">
        <v>293.39999999999901</v>
      </c>
      <c r="T2940" s="270">
        <v>40.5</v>
      </c>
      <c r="U2940" s="270">
        <v>3.19</v>
      </c>
    </row>
    <row r="2941" spans="2:21" ht="17.399999999999999" thickTop="1" thickBot="1">
      <c r="B2941" s="103">
        <v>293.49999999999898</v>
      </c>
      <c r="T2941" s="270">
        <v>40.53</v>
      </c>
      <c r="U2941" s="270">
        <v>3.19</v>
      </c>
    </row>
    <row r="2942" spans="2:21" ht="17.399999999999999" thickTop="1" thickBot="1">
      <c r="B2942" s="216">
        <v>293.599999999999</v>
      </c>
      <c r="T2942" s="270">
        <v>40.56</v>
      </c>
      <c r="U2942" s="270">
        <v>3.19</v>
      </c>
    </row>
    <row r="2943" spans="2:21" ht="17.399999999999999" thickTop="1" thickBot="1">
      <c r="B2943" s="103">
        <v>293.69999999999902</v>
      </c>
      <c r="T2943" s="270">
        <v>40.58</v>
      </c>
      <c r="U2943" s="270">
        <v>3.19</v>
      </c>
    </row>
    <row r="2944" spans="2:21" ht="17.399999999999999" thickTop="1" thickBot="1">
      <c r="B2944" s="216">
        <v>293.79999999999899</v>
      </c>
      <c r="T2944" s="270">
        <v>40.61</v>
      </c>
      <c r="U2944" s="270">
        <v>3.19</v>
      </c>
    </row>
    <row r="2945" spans="2:21" ht="17.399999999999999" thickTop="1" thickBot="1">
      <c r="B2945" s="103">
        <v>293.89999999999901</v>
      </c>
      <c r="T2945" s="270">
        <v>40.64</v>
      </c>
      <c r="U2945" s="270">
        <v>3.2</v>
      </c>
    </row>
    <row r="2946" spans="2:21" ht="17.399999999999999" thickTop="1" thickBot="1">
      <c r="B2946" s="216">
        <v>293.99999999999898</v>
      </c>
      <c r="T2946" s="270">
        <v>40.67</v>
      </c>
      <c r="U2946" s="270">
        <v>3.2</v>
      </c>
    </row>
    <row r="2947" spans="2:21" ht="17.399999999999999" thickTop="1" thickBot="1">
      <c r="B2947" s="103">
        <v>294.099999999999</v>
      </c>
      <c r="T2947" s="270">
        <v>40.69</v>
      </c>
      <c r="U2947" s="270">
        <v>3.2</v>
      </c>
    </row>
    <row r="2948" spans="2:21" ht="17.399999999999999" thickTop="1" thickBot="1">
      <c r="B2948" s="216">
        <v>294.19999999999902</v>
      </c>
      <c r="T2948" s="270">
        <v>40.72</v>
      </c>
      <c r="U2948" s="270">
        <v>3.2</v>
      </c>
    </row>
    <row r="2949" spans="2:21" ht="17.399999999999999" thickTop="1" thickBot="1">
      <c r="B2949" s="103">
        <v>294.29999999999899</v>
      </c>
      <c r="T2949" s="270">
        <v>40.75</v>
      </c>
      <c r="U2949" s="270">
        <v>3.21</v>
      </c>
    </row>
    <row r="2950" spans="2:21" ht="17.399999999999999" thickTop="1" thickBot="1">
      <c r="B2950" s="216">
        <v>294.39999999999901</v>
      </c>
      <c r="T2950" s="270">
        <v>40.78</v>
      </c>
      <c r="U2950" s="270">
        <v>3.21</v>
      </c>
    </row>
    <row r="2951" spans="2:21" ht="17.399999999999999" thickTop="1" thickBot="1">
      <c r="B2951" s="103">
        <v>294.49999999999898</v>
      </c>
      <c r="T2951" s="270">
        <v>40.799999999999997</v>
      </c>
      <c r="U2951" s="270">
        <v>3.21</v>
      </c>
    </row>
    <row r="2952" spans="2:21" ht="17.399999999999999" thickTop="1" thickBot="1">
      <c r="B2952" s="216">
        <v>294.599999999999</v>
      </c>
      <c r="T2952" s="270">
        <v>40.83</v>
      </c>
      <c r="U2952" s="270">
        <v>3.21</v>
      </c>
    </row>
    <row r="2953" spans="2:21" ht="17.399999999999999" thickTop="1" thickBot="1">
      <c r="B2953" s="103">
        <v>294.69999999999902</v>
      </c>
      <c r="T2953" s="270">
        <v>40.86</v>
      </c>
      <c r="U2953" s="270">
        <v>3.21</v>
      </c>
    </row>
    <row r="2954" spans="2:21" ht="17.399999999999999" thickTop="1" thickBot="1">
      <c r="B2954" s="216">
        <v>294.79999999999899</v>
      </c>
      <c r="T2954" s="270">
        <v>40.89</v>
      </c>
      <c r="U2954" s="270">
        <v>3.22</v>
      </c>
    </row>
    <row r="2955" spans="2:21" ht="17.399999999999999" thickTop="1" thickBot="1">
      <c r="B2955" s="103">
        <v>294.89999999999901</v>
      </c>
      <c r="T2955" s="270">
        <v>40.92</v>
      </c>
      <c r="U2955" s="270">
        <v>3.22</v>
      </c>
    </row>
    <row r="2956" spans="2:21" ht="17.399999999999999" thickTop="1" thickBot="1">
      <c r="B2956" s="216">
        <v>294.99999999999898</v>
      </c>
      <c r="T2956" s="270">
        <v>40.94</v>
      </c>
      <c r="U2956" s="270">
        <v>3.22</v>
      </c>
    </row>
    <row r="2957" spans="2:21" ht="17.399999999999999" thickTop="1" thickBot="1">
      <c r="B2957" s="103">
        <v>295.099999999999</v>
      </c>
      <c r="T2957" s="270">
        <v>40.97</v>
      </c>
      <c r="U2957" s="270">
        <v>3.22</v>
      </c>
    </row>
    <row r="2958" spans="2:21" ht="17.399999999999999" thickTop="1" thickBot="1">
      <c r="B2958" s="216">
        <v>295.19999999999902</v>
      </c>
      <c r="T2958" s="270">
        <v>41</v>
      </c>
      <c r="U2958" s="270">
        <v>3.22</v>
      </c>
    </row>
    <row r="2959" spans="2:21" ht="17.399999999999999" thickTop="1" thickBot="1">
      <c r="B2959" s="103">
        <v>295.29999999999899</v>
      </c>
      <c r="T2959" s="270">
        <v>41.03</v>
      </c>
      <c r="U2959" s="270">
        <v>3.23</v>
      </c>
    </row>
    <row r="2960" spans="2:21" ht="17.399999999999999" thickTop="1" thickBot="1">
      <c r="B2960" s="216">
        <v>295.39999999999901</v>
      </c>
      <c r="T2960" s="270">
        <v>41.05</v>
      </c>
      <c r="U2960" s="270">
        <v>3.23</v>
      </c>
    </row>
    <row r="2961" spans="2:21" ht="17.399999999999999" thickTop="1" thickBot="1">
      <c r="B2961" s="103">
        <v>295.49999999999898</v>
      </c>
      <c r="T2961" s="270">
        <v>41.08</v>
      </c>
      <c r="U2961" s="270">
        <v>3.23</v>
      </c>
    </row>
    <row r="2962" spans="2:21" ht="17.399999999999999" thickTop="1" thickBot="1">
      <c r="B2962" s="216">
        <v>295.599999999999</v>
      </c>
      <c r="T2962" s="270">
        <v>41.11</v>
      </c>
      <c r="U2962" s="270">
        <v>3.23</v>
      </c>
    </row>
    <row r="2963" spans="2:21" ht="17.399999999999999" thickTop="1" thickBot="1">
      <c r="B2963" s="103">
        <v>295.69999999999902</v>
      </c>
      <c r="T2963" s="270">
        <v>41.14</v>
      </c>
      <c r="U2963" s="270">
        <v>3.24</v>
      </c>
    </row>
    <row r="2964" spans="2:21" ht="17.399999999999999" thickTop="1" thickBot="1">
      <c r="B2964" s="216">
        <v>295.79999999999899</v>
      </c>
      <c r="T2964" s="270">
        <v>41.17</v>
      </c>
      <c r="U2964" s="270">
        <v>3.24</v>
      </c>
    </row>
    <row r="2965" spans="2:21" ht="17.399999999999999" thickTop="1" thickBot="1">
      <c r="B2965" s="103">
        <v>295.89999999999901</v>
      </c>
      <c r="T2965" s="270">
        <v>41.19</v>
      </c>
      <c r="U2965" s="270">
        <v>3.24</v>
      </c>
    </row>
    <row r="2966" spans="2:21" ht="17.399999999999999" thickTop="1" thickBot="1">
      <c r="B2966" s="216">
        <v>295.99999999999898</v>
      </c>
      <c r="T2966" s="270">
        <v>41.22</v>
      </c>
      <c r="U2966" s="270">
        <v>3.24</v>
      </c>
    </row>
    <row r="2967" spans="2:21" ht="17.399999999999999" thickTop="1" thickBot="1">
      <c r="B2967" s="103">
        <v>296.099999999999</v>
      </c>
      <c r="T2967" s="270">
        <v>41.25</v>
      </c>
      <c r="U2967" s="270">
        <v>3.24</v>
      </c>
    </row>
    <row r="2968" spans="2:21" ht="17.399999999999999" thickTop="1" thickBot="1">
      <c r="B2968" s="216">
        <v>296.19999999999902</v>
      </c>
      <c r="T2968" s="270">
        <v>41.28</v>
      </c>
      <c r="U2968" s="270">
        <v>3.25</v>
      </c>
    </row>
    <row r="2969" spans="2:21" ht="17.399999999999999" thickTop="1" thickBot="1">
      <c r="B2969" s="103">
        <v>296.29999999999899</v>
      </c>
      <c r="T2969" s="270">
        <v>41.3</v>
      </c>
      <c r="U2969" s="270">
        <v>3.25</v>
      </c>
    </row>
    <row r="2970" spans="2:21" ht="17.399999999999999" thickTop="1" thickBot="1">
      <c r="B2970" s="216">
        <v>296.39999999999901</v>
      </c>
      <c r="T2970" s="270">
        <v>41.33</v>
      </c>
      <c r="U2970" s="270">
        <v>3.25</v>
      </c>
    </row>
    <row r="2971" spans="2:21" ht="17.399999999999999" thickTop="1" thickBot="1">
      <c r="B2971" s="103">
        <v>296.49999999999898</v>
      </c>
      <c r="T2971" s="270">
        <v>41.36</v>
      </c>
      <c r="U2971" s="270">
        <v>3.25</v>
      </c>
    </row>
    <row r="2972" spans="2:21" ht="17.399999999999999" thickTop="1" thickBot="1">
      <c r="B2972" s="216">
        <v>296.599999999999</v>
      </c>
      <c r="T2972" s="270">
        <v>41.39</v>
      </c>
      <c r="U2972" s="270">
        <v>3.26</v>
      </c>
    </row>
    <row r="2973" spans="2:21" ht="17.399999999999999" thickTop="1" thickBot="1">
      <c r="B2973" s="103">
        <v>296.69999999999902</v>
      </c>
      <c r="T2973" s="270">
        <v>41.42</v>
      </c>
      <c r="U2973" s="270">
        <v>3.26</v>
      </c>
    </row>
    <row r="2974" spans="2:21" ht="17.399999999999999" thickTop="1" thickBot="1">
      <c r="B2974" s="216">
        <v>296.79999999999899</v>
      </c>
      <c r="T2974" s="270">
        <v>41.44</v>
      </c>
      <c r="U2974" s="270">
        <v>3.26</v>
      </c>
    </row>
    <row r="2975" spans="2:21" ht="17.399999999999999" thickTop="1" thickBot="1">
      <c r="B2975" s="103">
        <v>296.89999999999901</v>
      </c>
      <c r="T2975" s="270">
        <v>41.47</v>
      </c>
      <c r="U2975" s="270">
        <v>3.26</v>
      </c>
    </row>
    <row r="2976" spans="2:21" ht="17.399999999999999" thickTop="1" thickBot="1">
      <c r="B2976" s="216">
        <v>296.99999999999898</v>
      </c>
      <c r="T2976" s="270">
        <v>41.5</v>
      </c>
      <c r="U2976" s="270">
        <v>3.26</v>
      </c>
    </row>
    <row r="2977" spans="2:21" ht="17.399999999999999" thickTop="1" thickBot="1">
      <c r="B2977" s="103">
        <v>297.099999999999</v>
      </c>
      <c r="T2977" s="270">
        <v>41.53</v>
      </c>
      <c r="U2977" s="270">
        <v>3.27</v>
      </c>
    </row>
    <row r="2978" spans="2:21" ht="17.399999999999999" thickTop="1" thickBot="1">
      <c r="B2978" s="216">
        <v>297.19999999999902</v>
      </c>
      <c r="T2978" s="270">
        <v>41.56</v>
      </c>
      <c r="U2978" s="270">
        <v>3.27</v>
      </c>
    </row>
    <row r="2979" spans="2:21" ht="17.399999999999999" thickTop="1" thickBot="1">
      <c r="B2979" s="103">
        <v>297.29999999999899</v>
      </c>
      <c r="T2979" s="270">
        <v>41.58</v>
      </c>
      <c r="U2979" s="270">
        <v>3.27</v>
      </c>
    </row>
    <row r="2980" spans="2:21" ht="17.399999999999999" thickTop="1" thickBot="1">
      <c r="B2980" s="216">
        <v>297.39999999999901</v>
      </c>
      <c r="T2980" s="270">
        <v>41.61</v>
      </c>
      <c r="U2980" s="270">
        <v>3.27</v>
      </c>
    </row>
    <row r="2981" spans="2:21" ht="17.399999999999999" thickTop="1" thickBot="1">
      <c r="B2981" s="103">
        <v>297.49999999999898</v>
      </c>
      <c r="T2981" s="270">
        <v>41.64</v>
      </c>
      <c r="U2981" s="270">
        <v>3.28</v>
      </c>
    </row>
    <row r="2982" spans="2:21" ht="17.399999999999999" thickTop="1" thickBot="1">
      <c r="B2982" s="216">
        <v>297.599999999999</v>
      </c>
      <c r="T2982" s="270">
        <v>41.67</v>
      </c>
      <c r="U2982" s="270">
        <v>3.28</v>
      </c>
    </row>
    <row r="2983" spans="2:21" ht="17.399999999999999" thickTop="1" thickBot="1">
      <c r="B2983" s="103">
        <v>297.69999999999902</v>
      </c>
      <c r="T2983" s="270">
        <v>41.7</v>
      </c>
      <c r="U2983" s="270">
        <v>3.28</v>
      </c>
    </row>
    <row r="2984" spans="2:21" ht="17.399999999999999" thickTop="1" thickBot="1">
      <c r="B2984" s="216">
        <v>297.79999999999899</v>
      </c>
      <c r="T2984" s="270">
        <v>41.72</v>
      </c>
      <c r="U2984" s="270">
        <v>3.28</v>
      </c>
    </row>
    <row r="2985" spans="2:21" ht="17.399999999999999" thickTop="1" thickBot="1">
      <c r="B2985" s="103">
        <v>297.89999999999901</v>
      </c>
      <c r="T2985" s="270">
        <v>41.75</v>
      </c>
      <c r="U2985" s="270">
        <v>3.28</v>
      </c>
    </row>
    <row r="2986" spans="2:21" ht="17.399999999999999" thickTop="1" thickBot="1">
      <c r="B2986" s="216">
        <v>297.99999999999898</v>
      </c>
      <c r="T2986" s="270">
        <v>41.78</v>
      </c>
      <c r="U2986" s="270">
        <v>3.29</v>
      </c>
    </row>
    <row r="2987" spans="2:21" ht="17.399999999999999" thickTop="1" thickBot="1">
      <c r="B2987" s="103">
        <v>298.099999999999</v>
      </c>
      <c r="T2987" s="270">
        <v>41.81</v>
      </c>
      <c r="U2987" s="270">
        <v>3.29</v>
      </c>
    </row>
    <row r="2988" spans="2:21" ht="17.399999999999999" thickTop="1" thickBot="1">
      <c r="B2988" s="216">
        <v>298.19999999999902</v>
      </c>
      <c r="T2988" s="270">
        <v>41.84</v>
      </c>
      <c r="U2988" s="270">
        <v>3.29</v>
      </c>
    </row>
    <row r="2989" spans="2:21" ht="17.399999999999999" thickTop="1" thickBot="1">
      <c r="B2989" s="103">
        <v>298.29999999999899</v>
      </c>
      <c r="T2989" s="270">
        <v>41.86</v>
      </c>
      <c r="U2989" s="270">
        <v>3.29</v>
      </c>
    </row>
    <row r="2990" spans="2:21" ht="17.399999999999999" thickTop="1" thickBot="1">
      <c r="B2990" s="216">
        <v>298.39999999999901</v>
      </c>
      <c r="T2990" s="270">
        <v>41.89</v>
      </c>
      <c r="U2990" s="270">
        <v>3.29</v>
      </c>
    </row>
    <row r="2991" spans="2:21" ht="17.399999999999999" thickTop="1" thickBot="1">
      <c r="B2991" s="103">
        <v>298.49999999999898</v>
      </c>
      <c r="T2991" s="270">
        <v>41.92</v>
      </c>
      <c r="U2991" s="270">
        <v>3.3</v>
      </c>
    </row>
    <row r="2992" spans="2:21" ht="17.399999999999999" thickTop="1" thickBot="1">
      <c r="B2992" s="216">
        <v>298.599999999999</v>
      </c>
      <c r="T2992" s="270">
        <v>41.95</v>
      </c>
      <c r="U2992" s="270">
        <v>3.3</v>
      </c>
    </row>
    <row r="2993" spans="2:21" ht="17.399999999999999" thickTop="1" thickBot="1">
      <c r="B2993" s="103">
        <v>298.69999999999902</v>
      </c>
      <c r="T2993" s="270">
        <v>41.98</v>
      </c>
      <c r="U2993" s="270">
        <v>3.3</v>
      </c>
    </row>
    <row r="2994" spans="2:21" ht="17.399999999999999" thickTop="1" thickBot="1">
      <c r="B2994" s="216">
        <v>298.79999999999899</v>
      </c>
      <c r="T2994" s="270">
        <v>42</v>
      </c>
      <c r="U2994" s="270">
        <v>3.3</v>
      </c>
    </row>
    <row r="2995" spans="2:21" ht="17.399999999999999" thickTop="1" thickBot="1">
      <c r="B2995" s="103">
        <v>298.89999999999901</v>
      </c>
      <c r="T2995" s="270">
        <v>42.03</v>
      </c>
      <c r="U2995" s="270">
        <v>3.31</v>
      </c>
    </row>
    <row r="2996" spans="2:21" ht="17.399999999999999" thickTop="1" thickBot="1">
      <c r="B2996" s="216">
        <v>298.99999999999898</v>
      </c>
      <c r="T2996" s="270">
        <v>42.06</v>
      </c>
      <c r="U2996" s="270">
        <v>3.31</v>
      </c>
    </row>
    <row r="2997" spans="2:21" ht="17.399999999999999" thickTop="1" thickBot="1">
      <c r="B2997" s="103">
        <v>299.099999999999</v>
      </c>
      <c r="T2997" s="270">
        <v>42.09</v>
      </c>
      <c r="U2997" s="270">
        <v>3.31</v>
      </c>
    </row>
    <row r="2998" spans="2:21" ht="17.399999999999999" thickTop="1" thickBot="1">
      <c r="B2998" s="216">
        <v>299.19999999999902</v>
      </c>
      <c r="T2998" s="270">
        <v>42.12</v>
      </c>
      <c r="U2998" s="270">
        <v>3.31</v>
      </c>
    </row>
    <row r="2999" spans="2:21" ht="17.399999999999999" thickTop="1" thickBot="1">
      <c r="B2999" s="103">
        <v>299.29999999999899</v>
      </c>
      <c r="T2999" s="270">
        <v>42.15</v>
      </c>
      <c r="U2999" s="270">
        <v>3.31</v>
      </c>
    </row>
    <row r="3000" spans="2:21" ht="17.399999999999999" thickTop="1" thickBot="1">
      <c r="B3000" s="216">
        <v>299.39999999999901</v>
      </c>
      <c r="T3000" s="270">
        <v>42.17</v>
      </c>
      <c r="U3000" s="270">
        <v>3.32</v>
      </c>
    </row>
    <row r="3001" spans="2:21" ht="17.399999999999999" thickTop="1" thickBot="1">
      <c r="B3001" s="103">
        <v>299.49999999999898</v>
      </c>
      <c r="T3001" s="270">
        <v>42.2</v>
      </c>
      <c r="U3001" s="270">
        <v>3.32</v>
      </c>
    </row>
    <row r="3002" spans="2:21" ht="17.399999999999999" thickTop="1" thickBot="1">
      <c r="B3002" s="216">
        <v>299.599999999999</v>
      </c>
      <c r="T3002" s="270">
        <v>42.23</v>
      </c>
      <c r="U3002" s="270">
        <v>3.32</v>
      </c>
    </row>
    <row r="3003" spans="2:21" ht="17.399999999999999" thickTop="1" thickBot="1">
      <c r="B3003" s="103">
        <v>299.69999999999902</v>
      </c>
      <c r="T3003" s="270">
        <v>42.26</v>
      </c>
      <c r="U3003" s="270">
        <v>3.32</v>
      </c>
    </row>
    <row r="3004" spans="2:21" ht="17.399999999999999" thickTop="1" thickBot="1">
      <c r="B3004" s="216">
        <v>299.79999999999899</v>
      </c>
      <c r="T3004" s="270">
        <v>42.29</v>
      </c>
      <c r="U3004" s="270">
        <v>3.33</v>
      </c>
    </row>
    <row r="3005" spans="2:21" ht="17.399999999999999" thickTop="1" thickBot="1">
      <c r="B3005" s="103">
        <v>299.89999999999901</v>
      </c>
      <c r="T3005" s="270">
        <v>42.31</v>
      </c>
      <c r="U3005" s="270">
        <v>3.33</v>
      </c>
    </row>
    <row r="3006" spans="2:21" ht="17.399999999999999" thickTop="1" thickBot="1">
      <c r="B3006" s="216">
        <v>299.99999999999898</v>
      </c>
      <c r="T3006" s="270">
        <v>42.34</v>
      </c>
      <c r="U3006" s="270">
        <v>3.33</v>
      </c>
    </row>
    <row r="3007" spans="2:21" ht="10.199999999999999" thickTop="1"/>
  </sheetData>
  <sheetProtection algorithmName="SHA-512" hashValue="rb7VXnHDFJ1Kbehkch9/GnT4HTqauU/b9GSJPxptC1PmwwAlDtx4CBpcWm9DYWjfPL5RuYXs0+NnV+ATtkiVwQ==" saltValue="zD34rzzXBzOp0h0yRUpOMw==" spinCount="100000" sheet="1" objects="1" scenarios="1"/>
  <mergeCells count="6">
    <mergeCell ref="Z3:AB3"/>
    <mergeCell ref="C3:H3"/>
    <mergeCell ref="I3:J3"/>
    <mergeCell ref="K3:L3"/>
    <mergeCell ref="V3:Y3"/>
    <mergeCell ref="M3:U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47</vt:i4>
      </vt:variant>
    </vt:vector>
  </HeadingPairs>
  <TitlesOfParts>
    <vt:vector size="53" baseType="lpstr">
      <vt:lpstr>水理計算書(直結加圧装置まで)</vt:lpstr>
      <vt:lpstr>水理計算書 (直結加圧装置下流) (1)</vt:lpstr>
      <vt:lpstr>水理計算書 (直結加圧装置下流) (2)</vt:lpstr>
      <vt:lpstr>直結加圧水理計算書（入力方法）</vt:lpstr>
      <vt:lpstr>入力補助</vt:lpstr>
      <vt:lpstr>コード表</vt:lpstr>
      <vt:lpstr>COP</vt:lpstr>
      <vt:lpstr>HIVP</vt:lpstr>
      <vt:lpstr>HPPE</vt:lpstr>
      <vt:lpstr>PBP</vt:lpstr>
      <vt:lpstr>Pe</vt:lpstr>
      <vt:lpstr>PeH</vt:lpstr>
      <vt:lpstr>'水理計算書 (直結加圧装置下流) (1)'!Print_Area</vt:lpstr>
      <vt:lpstr>'水理計算書 (直結加圧装置下流) (2)'!Print_Area</vt:lpstr>
      <vt:lpstr>'水理計算書(直結加圧装置まで)'!Print_Area</vt:lpstr>
      <vt:lpstr>'直結加圧水理計算書（入力方法）'!Print_Area</vt:lpstr>
      <vt:lpstr>SUS</vt:lpstr>
      <vt:lpstr>VP</vt:lpstr>
      <vt:lpstr>VSP</vt:lpstr>
      <vt:lpstr>XPe</vt:lpstr>
      <vt:lpstr>ｱﾝｸﾞﾙ止水栓</vt:lpstr>
      <vt:lpstr>サドル分水栓</vt:lpstr>
      <vt:lpstr>ｽﾄﾚｰﾄ止水栓</vt:lpstr>
      <vt:lpstr>ﾄﾞﾚﾝﾊﾞﾙﾌﾞ逆止無</vt:lpstr>
      <vt:lpstr>ﾄﾞﾚﾝﾊﾞﾙﾌﾞ逆止有</vt:lpstr>
      <vt:lpstr>ﾌﾗｯｼｭﾊﾞﾙﾌﾞ</vt:lpstr>
      <vt:lpstr>フレキ300L</vt:lpstr>
      <vt:lpstr>フレキ500L</vt:lpstr>
      <vt:lpstr>ヘッダー</vt:lpstr>
      <vt:lpstr>ボールタップ</vt:lpstr>
      <vt:lpstr>ﾎﾞｰﾙﾊﾞﾙﾌﾞ逆止有</vt:lpstr>
      <vt:lpstr>ボール止水栓</vt:lpstr>
      <vt:lpstr>メーター</vt:lpstr>
      <vt:lpstr>ﾒｰﾀｰﾕﾆｯﾄ</vt:lpstr>
      <vt:lpstr>異径接合</vt:lpstr>
      <vt:lpstr>屋内止水栓</vt:lpstr>
      <vt:lpstr>割T字</vt:lpstr>
      <vt:lpstr>管種</vt:lpstr>
      <vt:lpstr>器具</vt:lpstr>
      <vt:lpstr>逆止ﾒｰﾀｰﾊﾟｯｷﾝ</vt:lpstr>
      <vt:lpstr>逆止弁ｽｲﾝｸﾞ式</vt:lpstr>
      <vt:lpstr>逆止弁減圧</vt:lpstr>
      <vt:lpstr>逆止弁単式</vt:lpstr>
      <vt:lpstr>給水管</vt:lpstr>
      <vt:lpstr>甲止水栓</vt:lpstr>
      <vt:lpstr>仕切弁</vt:lpstr>
      <vt:lpstr>止水栓</vt:lpstr>
      <vt:lpstr>水栓類</vt:lpstr>
      <vt:lpstr>水抜栓</vt:lpstr>
      <vt:lpstr>鋳鉄管</vt:lpstr>
      <vt:lpstr>定水位弁</vt:lpstr>
      <vt:lpstr>分岐箇所</vt:lpstr>
      <vt:lpstr>分岐水栓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石上 元春</dc:creator>
  <cp:lastModifiedBy>石上 元春</cp:lastModifiedBy>
  <cp:lastPrinted>2025-04-04T05:58:07Z</cp:lastPrinted>
  <dcterms:created xsi:type="dcterms:W3CDTF">2024-08-15T05:21:54Z</dcterms:created>
  <dcterms:modified xsi:type="dcterms:W3CDTF">2025-06-23T07:40:28Z</dcterms:modified>
</cp:coreProperties>
</file>